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xl/python.xml" ContentType="application/vnd.ms-excel.pytho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amKleinert\Downloads\"/>
    </mc:Choice>
  </mc:AlternateContent>
  <xr:revisionPtr revIDLastSave="0" documentId="13_ncr:1_{80AADD9F-D1FC-4EB7-9229-458FEE044AEE}" xr6:coauthVersionLast="47" xr6:coauthVersionMax="47" xr10:uidLastSave="{00000000-0000-0000-0000-000000000000}"/>
  <bookViews>
    <workbookView xWindow="150" yWindow="-21720" windowWidth="38640" windowHeight="21120" xr2:uid="{00000000-000D-0000-FFFF-FFFF00000000}"/>
  </bookViews>
  <sheets>
    <sheet name="Actuals" sheetId="2" r:id="rId1"/>
    <sheet name="Frame" sheetId="10" r:id="rId2"/>
    <sheet name="Model" sheetId="11" r:id="rId3"/>
    <sheet name="Base" sheetId="9" r:id="rId4"/>
    <sheet name="Scenario Builder" sheetId="3" r:id="rId5"/>
    <sheet name="Scenario 1" sheetId="12" r:id="rId6"/>
    <sheet name="Scenario 2" sheetId="13" r:id="rId7"/>
    <sheet name="Scenario 3" sheetId="14" r:id="rId8"/>
    <sheet name="Scenario 4" sheetId="15" r:id="rId9"/>
    <sheet name="Summary" sheetId="7" r:id="rId10"/>
  </sheets>
  <definedNames>
    <definedName name="DriverBase">Model!$D$7:$D$13</definedName>
    <definedName name="DriverForecast">Model!$C$19:$N$25</definedName>
    <definedName name="Effects">Model!$C$7:$C$13</definedName>
    <definedName name="Intercept">Model!$C$14</definedName>
    <definedName name="TargetBase">Model!$D$14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4" i="3" l="1"/>
  <c r="R14" i="3"/>
  <c r="S14" i="3"/>
  <c r="T14" i="3"/>
  <c r="U14" i="3"/>
  <c r="V14" i="3"/>
  <c r="W14" i="3"/>
  <c r="X14" i="3"/>
  <c r="Y14" i="3"/>
  <c r="Z14" i="3"/>
  <c r="AA14" i="3"/>
  <c r="AB14" i="3"/>
  <c r="C12" i="7"/>
  <c r="B12" i="7"/>
  <c r="E8" i="7"/>
  <c r="D8" i="7"/>
  <c r="C8" i="7"/>
  <c r="B8" i="7"/>
  <c r="O31" i="15"/>
  <c r="N31" i="15"/>
  <c r="M31" i="15"/>
  <c r="L31" i="15"/>
  <c r="K31" i="15"/>
  <c r="J31" i="15"/>
  <c r="I31" i="15"/>
  <c r="H31" i="15"/>
  <c r="G31" i="15"/>
  <c r="F31" i="15"/>
  <c r="E31" i="15"/>
  <c r="D31" i="15"/>
  <c r="B31" i="15"/>
  <c r="O30" i="15"/>
  <c r="N30" i="15"/>
  <c r="M30" i="15"/>
  <c r="L30" i="15"/>
  <c r="K30" i="15"/>
  <c r="J30" i="15"/>
  <c r="I30" i="15"/>
  <c r="H30" i="15"/>
  <c r="G30" i="15"/>
  <c r="F30" i="15"/>
  <c r="E30" i="15"/>
  <c r="D30" i="15"/>
  <c r="B30" i="15"/>
  <c r="O29" i="15"/>
  <c r="N29" i="15"/>
  <c r="M29" i="15"/>
  <c r="L29" i="15"/>
  <c r="K29" i="15"/>
  <c r="J29" i="15"/>
  <c r="I29" i="15"/>
  <c r="H29" i="15"/>
  <c r="G29" i="15"/>
  <c r="F29" i="15"/>
  <c r="E29" i="15"/>
  <c r="D29" i="15"/>
  <c r="B29" i="15"/>
  <c r="O28" i="15"/>
  <c r="N28" i="15"/>
  <c r="M28" i="15"/>
  <c r="L28" i="15"/>
  <c r="K28" i="15"/>
  <c r="J28" i="15"/>
  <c r="I28" i="15"/>
  <c r="H28" i="15"/>
  <c r="G28" i="15"/>
  <c r="F28" i="15"/>
  <c r="E28" i="15"/>
  <c r="D28" i="15"/>
  <c r="B28" i="15"/>
  <c r="O27" i="15"/>
  <c r="N27" i="15"/>
  <c r="M27" i="15"/>
  <c r="L27" i="15"/>
  <c r="K27" i="15"/>
  <c r="J27" i="15"/>
  <c r="I27" i="15"/>
  <c r="H27" i="15"/>
  <c r="G27" i="15"/>
  <c r="F27" i="15"/>
  <c r="E27" i="15"/>
  <c r="D27" i="15"/>
  <c r="B27" i="15"/>
  <c r="O26" i="15"/>
  <c r="N26" i="15"/>
  <c r="M26" i="15"/>
  <c r="L26" i="15"/>
  <c r="K26" i="15"/>
  <c r="J26" i="15"/>
  <c r="I26" i="15"/>
  <c r="H26" i="15"/>
  <c r="G26" i="15"/>
  <c r="F26" i="15"/>
  <c r="E26" i="15"/>
  <c r="D26" i="15"/>
  <c r="AC22" i="15"/>
  <c r="P22" i="15"/>
  <c r="AC21" i="15"/>
  <c r="P21" i="15"/>
  <c r="AC20" i="15"/>
  <c r="B17" i="15" a="1"/>
  <c r="AC19" i="15" s="1"/>
  <c r="N8" i="7" s="1"/>
  <c r="O14" i="15"/>
  <c r="AB14" i="15" s="1"/>
  <c r="N14" i="15"/>
  <c r="AA14" i="15" s="1"/>
  <c r="M14" i="15"/>
  <c r="Z14" i="15" s="1"/>
  <c r="L14" i="15"/>
  <c r="Y14" i="15" s="1"/>
  <c r="K14" i="15"/>
  <c r="X14" i="15" s="1"/>
  <c r="J14" i="15"/>
  <c r="W14" i="15" s="1"/>
  <c r="I14" i="15"/>
  <c r="V14" i="15" s="1"/>
  <c r="H14" i="15"/>
  <c r="U14" i="15" s="1"/>
  <c r="G14" i="15"/>
  <c r="T14" i="15" s="1"/>
  <c r="F14" i="15"/>
  <c r="S14" i="15" s="1"/>
  <c r="E14" i="15"/>
  <c r="R14" i="15" s="1"/>
  <c r="D14" i="15"/>
  <c r="Q14" i="15" s="1"/>
  <c r="B14" i="15"/>
  <c r="B2" i="15"/>
  <c r="C11" i="7"/>
  <c r="E7" i="7"/>
  <c r="D7" i="7"/>
  <c r="C7" i="7"/>
  <c r="B7" i="7"/>
  <c r="O31" i="14"/>
  <c r="N31" i="14"/>
  <c r="M31" i="14"/>
  <c r="L31" i="14"/>
  <c r="K31" i="14"/>
  <c r="J31" i="14"/>
  <c r="I31" i="14"/>
  <c r="H31" i="14"/>
  <c r="G31" i="14"/>
  <c r="F31" i="14"/>
  <c r="E31" i="14"/>
  <c r="D31" i="14"/>
  <c r="B31" i="14"/>
  <c r="O30" i="14"/>
  <c r="N30" i="14"/>
  <c r="M30" i="14"/>
  <c r="L30" i="14"/>
  <c r="K30" i="14"/>
  <c r="J30" i="14"/>
  <c r="I30" i="14"/>
  <c r="H30" i="14"/>
  <c r="G30" i="14"/>
  <c r="F30" i="14"/>
  <c r="E30" i="14"/>
  <c r="D30" i="14"/>
  <c r="B30" i="14"/>
  <c r="O29" i="14"/>
  <c r="N29" i="14"/>
  <c r="M29" i="14"/>
  <c r="L29" i="14"/>
  <c r="K29" i="14"/>
  <c r="J29" i="14"/>
  <c r="I29" i="14"/>
  <c r="H29" i="14"/>
  <c r="G29" i="14"/>
  <c r="F29" i="14"/>
  <c r="E29" i="14"/>
  <c r="D29" i="14"/>
  <c r="B29" i="14"/>
  <c r="O28" i="14"/>
  <c r="N28" i="14"/>
  <c r="M28" i="14"/>
  <c r="L28" i="14"/>
  <c r="K28" i="14"/>
  <c r="J28" i="14"/>
  <c r="I28" i="14"/>
  <c r="H28" i="14"/>
  <c r="G28" i="14"/>
  <c r="F28" i="14"/>
  <c r="E28" i="14"/>
  <c r="D28" i="14"/>
  <c r="B28" i="14"/>
  <c r="O27" i="14"/>
  <c r="N27" i="14"/>
  <c r="M27" i="14"/>
  <c r="L27" i="14"/>
  <c r="K27" i="14"/>
  <c r="J27" i="14"/>
  <c r="I27" i="14"/>
  <c r="H27" i="14"/>
  <c r="G27" i="14"/>
  <c r="F27" i="14"/>
  <c r="E27" i="14"/>
  <c r="D27" i="14"/>
  <c r="B27" i="14"/>
  <c r="O26" i="14"/>
  <c r="N26" i="14"/>
  <c r="M26" i="14"/>
  <c r="L26" i="14"/>
  <c r="K26" i="14"/>
  <c r="J26" i="14"/>
  <c r="I26" i="14"/>
  <c r="H26" i="14"/>
  <c r="G26" i="14"/>
  <c r="F26" i="14"/>
  <c r="E26" i="14"/>
  <c r="D26" i="14"/>
  <c r="AC22" i="14"/>
  <c r="P22" i="14"/>
  <c r="AC21" i="14"/>
  <c r="P21" i="14"/>
  <c r="AC20" i="14"/>
  <c r="B17" i="14" a="1"/>
  <c r="AC19" i="14" s="1"/>
  <c r="N7" i="7" s="1"/>
  <c r="O14" i="14"/>
  <c r="AB14" i="14" s="1"/>
  <c r="N14" i="14"/>
  <c r="AA14" i="14" s="1"/>
  <c r="M14" i="14"/>
  <c r="Z14" i="14" s="1"/>
  <c r="L14" i="14"/>
  <c r="Y14" i="14" s="1"/>
  <c r="K14" i="14"/>
  <c r="X14" i="14" s="1"/>
  <c r="J14" i="14"/>
  <c r="W14" i="14" s="1"/>
  <c r="I14" i="14"/>
  <c r="V14" i="14" s="1"/>
  <c r="H14" i="14"/>
  <c r="U14" i="14" s="1"/>
  <c r="G14" i="14"/>
  <c r="T14" i="14" s="1"/>
  <c r="F14" i="14"/>
  <c r="S14" i="14" s="1"/>
  <c r="E14" i="14"/>
  <c r="R14" i="14" s="1"/>
  <c r="D14" i="14"/>
  <c r="Q14" i="14" s="1"/>
  <c r="B14" i="14"/>
  <c r="B2" i="14"/>
  <c r="G6" i="7"/>
  <c r="J6" i="7" s="1"/>
  <c r="E6" i="7"/>
  <c r="D6" i="7"/>
  <c r="C6" i="7"/>
  <c r="B6" i="7"/>
  <c r="E5" i="7"/>
  <c r="D5" i="7"/>
  <c r="C5" i="7"/>
  <c r="B5" i="7"/>
  <c r="O31" i="13"/>
  <c r="N31" i="13"/>
  <c r="M31" i="13"/>
  <c r="L31" i="13"/>
  <c r="K31" i="13"/>
  <c r="J31" i="13"/>
  <c r="I31" i="13"/>
  <c r="H31" i="13"/>
  <c r="G31" i="13"/>
  <c r="F31" i="13"/>
  <c r="E31" i="13"/>
  <c r="D31" i="13"/>
  <c r="B31" i="13"/>
  <c r="O30" i="13"/>
  <c r="N30" i="13"/>
  <c r="M30" i="13"/>
  <c r="L30" i="13"/>
  <c r="K30" i="13"/>
  <c r="J30" i="13"/>
  <c r="I30" i="13"/>
  <c r="H30" i="13"/>
  <c r="G30" i="13"/>
  <c r="F30" i="13"/>
  <c r="E30" i="13"/>
  <c r="D30" i="13"/>
  <c r="B30" i="13"/>
  <c r="O29" i="13"/>
  <c r="N29" i="13"/>
  <c r="M29" i="13"/>
  <c r="L29" i="13"/>
  <c r="K29" i="13"/>
  <c r="J29" i="13"/>
  <c r="I29" i="13"/>
  <c r="H29" i="13"/>
  <c r="G29" i="13"/>
  <c r="F29" i="13"/>
  <c r="E29" i="13"/>
  <c r="D29" i="13"/>
  <c r="B29" i="13"/>
  <c r="O28" i="13"/>
  <c r="N28" i="13"/>
  <c r="M28" i="13"/>
  <c r="L28" i="13"/>
  <c r="K28" i="13"/>
  <c r="J28" i="13"/>
  <c r="I28" i="13"/>
  <c r="H28" i="13"/>
  <c r="G28" i="13"/>
  <c r="F28" i="13"/>
  <c r="E28" i="13"/>
  <c r="D28" i="13"/>
  <c r="B28" i="13"/>
  <c r="O27" i="13"/>
  <c r="N27" i="13"/>
  <c r="M27" i="13"/>
  <c r="L27" i="13"/>
  <c r="K27" i="13"/>
  <c r="J27" i="13"/>
  <c r="I27" i="13"/>
  <c r="H27" i="13"/>
  <c r="G27" i="13"/>
  <c r="F27" i="13"/>
  <c r="E27" i="13"/>
  <c r="D27" i="13"/>
  <c r="B27" i="13"/>
  <c r="O26" i="13"/>
  <c r="N26" i="13"/>
  <c r="M26" i="13"/>
  <c r="L26" i="13"/>
  <c r="K26" i="13"/>
  <c r="J26" i="13"/>
  <c r="I26" i="13"/>
  <c r="H26" i="13"/>
  <c r="G26" i="13"/>
  <c r="F26" i="13"/>
  <c r="E26" i="13"/>
  <c r="D26" i="13"/>
  <c r="AC22" i="13"/>
  <c r="P22" i="13"/>
  <c r="AC21" i="13"/>
  <c r="P21" i="13"/>
  <c r="AC20" i="13"/>
  <c r="B17" i="13" a="1"/>
  <c r="O14" i="13"/>
  <c r="N14" i="13"/>
  <c r="M14" i="13"/>
  <c r="L14" i="13"/>
  <c r="K14" i="13"/>
  <c r="J14" i="13"/>
  <c r="I14" i="13"/>
  <c r="H14" i="13"/>
  <c r="G14" i="13"/>
  <c r="F14" i="13"/>
  <c r="E14" i="13"/>
  <c r="D14" i="13"/>
  <c r="B14" i="13"/>
  <c r="B2" i="13"/>
  <c r="O31" i="12"/>
  <c r="N31" i="12"/>
  <c r="M31" i="12"/>
  <c r="L31" i="12"/>
  <c r="K31" i="12"/>
  <c r="J31" i="12"/>
  <c r="I31" i="12"/>
  <c r="H31" i="12"/>
  <c r="G31" i="12"/>
  <c r="F31" i="12"/>
  <c r="E31" i="12"/>
  <c r="D31" i="12"/>
  <c r="B31" i="12"/>
  <c r="O30" i="12"/>
  <c r="N30" i="12"/>
  <c r="M30" i="12"/>
  <c r="L30" i="12"/>
  <c r="K30" i="12"/>
  <c r="J30" i="12"/>
  <c r="I30" i="12"/>
  <c r="H30" i="12"/>
  <c r="G30" i="12"/>
  <c r="F30" i="12"/>
  <c r="E30" i="12"/>
  <c r="D30" i="12"/>
  <c r="B30" i="12"/>
  <c r="O29" i="12"/>
  <c r="N29" i="12"/>
  <c r="M29" i="12"/>
  <c r="L29" i="12"/>
  <c r="K29" i="12"/>
  <c r="J29" i="12"/>
  <c r="I29" i="12"/>
  <c r="H29" i="12"/>
  <c r="G29" i="12"/>
  <c r="F29" i="12"/>
  <c r="E29" i="12"/>
  <c r="D29" i="12"/>
  <c r="B29" i="12"/>
  <c r="O28" i="12"/>
  <c r="N28" i="12"/>
  <c r="M28" i="12"/>
  <c r="L28" i="12"/>
  <c r="K28" i="12"/>
  <c r="J28" i="12"/>
  <c r="I28" i="12"/>
  <c r="H28" i="12"/>
  <c r="G28" i="12"/>
  <c r="F28" i="12"/>
  <c r="E28" i="12"/>
  <c r="D28" i="12"/>
  <c r="B28" i="12"/>
  <c r="O27" i="12"/>
  <c r="N27" i="12"/>
  <c r="M27" i="12"/>
  <c r="L27" i="12"/>
  <c r="K27" i="12"/>
  <c r="J27" i="12"/>
  <c r="I27" i="12"/>
  <c r="H27" i="12"/>
  <c r="G27" i="12"/>
  <c r="F27" i="12"/>
  <c r="E27" i="12"/>
  <c r="D27" i="12"/>
  <c r="B27" i="12"/>
  <c r="O26" i="12"/>
  <c r="N26" i="12"/>
  <c r="M26" i="12"/>
  <c r="L26" i="12"/>
  <c r="K26" i="12"/>
  <c r="J26" i="12"/>
  <c r="I26" i="12"/>
  <c r="H26" i="12"/>
  <c r="G26" i="12"/>
  <c r="F26" i="12"/>
  <c r="E26" i="12"/>
  <c r="D26" i="12"/>
  <c r="AC22" i="12"/>
  <c r="P22" i="12"/>
  <c r="AC21" i="12"/>
  <c r="P21" i="12"/>
  <c r="AC20" i="12"/>
  <c r="B17" i="12" a="1"/>
  <c r="O14" i="12"/>
  <c r="AB14" i="12" s="1"/>
  <c r="N14" i="12"/>
  <c r="AA14" i="12" s="1"/>
  <c r="M14" i="12"/>
  <c r="Z14" i="12" s="1"/>
  <c r="L14" i="12"/>
  <c r="Y14" i="12" s="1"/>
  <c r="K14" i="12"/>
  <c r="X14" i="12" s="1"/>
  <c r="J14" i="12"/>
  <c r="W14" i="12" s="1"/>
  <c r="I14" i="12"/>
  <c r="V14" i="12" s="1"/>
  <c r="H14" i="12"/>
  <c r="U14" i="12" s="1"/>
  <c r="G14" i="12"/>
  <c r="T14" i="12" s="1"/>
  <c r="F14" i="12"/>
  <c r="S14" i="12" s="1"/>
  <c r="E14" i="12"/>
  <c r="R14" i="12" s="1"/>
  <c r="D14" i="12"/>
  <c r="Q14" i="12" s="1"/>
  <c r="B14" i="12"/>
  <c r="B2" i="12"/>
  <c r="AC13" i="9"/>
  <c r="AC12" i="9"/>
  <c r="AC11" i="9"/>
  <c r="D13" i="9"/>
  <c r="E13" i="9"/>
  <c r="F13" i="9"/>
  <c r="G13" i="9"/>
  <c r="H13" i="9"/>
  <c r="I13" i="9"/>
  <c r="J13" i="9"/>
  <c r="K13" i="9"/>
  <c r="L13" i="9"/>
  <c r="M13" i="9"/>
  <c r="N13" i="9"/>
  <c r="O13" i="9"/>
  <c r="D12" i="9"/>
  <c r="E12" i="9"/>
  <c r="F12" i="9"/>
  <c r="G12" i="9"/>
  <c r="H12" i="9"/>
  <c r="I12" i="9"/>
  <c r="J12" i="9"/>
  <c r="K12" i="9"/>
  <c r="L12" i="9"/>
  <c r="M12" i="9"/>
  <c r="N12" i="9"/>
  <c r="O12" i="9"/>
  <c r="D11" i="9"/>
  <c r="E11" i="9"/>
  <c r="F11" i="9"/>
  <c r="G11" i="9"/>
  <c r="H11" i="9"/>
  <c r="I11" i="9"/>
  <c r="J11" i="9"/>
  <c r="K11" i="9"/>
  <c r="L11" i="9"/>
  <c r="M11" i="9"/>
  <c r="N11" i="9"/>
  <c r="O11" i="9"/>
  <c r="B19" i="11" a="1"/>
  <c r="B19" i="11" s="1"/>
  <c r="B7" i="11" a="1"/>
  <c r="B7" i="11" s="1"/>
  <c r="C22" i="10"/>
  <c r="C23" i="10" s="1"/>
  <c r="C18" i="10"/>
  <c r="B2" i="3"/>
  <c r="O14" i="3"/>
  <c r="N14" i="3"/>
  <c r="M14" i="3"/>
  <c r="L14" i="3"/>
  <c r="K14" i="3"/>
  <c r="J14" i="3"/>
  <c r="I14" i="3"/>
  <c r="H14" i="3"/>
  <c r="G14" i="3"/>
  <c r="F14" i="3"/>
  <c r="E14" i="3"/>
  <c r="D14" i="3"/>
  <c r="AU21" i="2"/>
  <c r="AT21" i="2"/>
  <c r="AS21" i="2"/>
  <c r="AU20" i="2"/>
  <c r="AT20" i="2"/>
  <c r="AS20" i="2"/>
  <c r="AU19" i="2"/>
  <c r="AT19" i="2"/>
  <c r="AS19" i="2"/>
  <c r="AU18" i="2"/>
  <c r="AT18" i="2"/>
  <c r="AS18" i="2"/>
  <c r="AU17" i="2"/>
  <c r="AT17" i="2"/>
  <c r="AS17" i="2"/>
  <c r="AU16" i="2"/>
  <c r="AT16" i="2"/>
  <c r="AS16" i="2"/>
  <c r="AU13" i="2"/>
  <c r="AT13" i="2"/>
  <c r="AS13" i="2"/>
  <c r="AU12" i="2"/>
  <c r="AT12" i="2"/>
  <c r="AS12" i="2"/>
  <c r="AU11" i="2"/>
  <c r="AT11" i="2"/>
  <c r="AS11" i="2"/>
  <c r="AU10" i="2"/>
  <c r="AT10" i="2"/>
  <c r="AS10" i="2"/>
  <c r="AU9" i="2"/>
  <c r="AT9" i="2"/>
  <c r="AS9" i="2"/>
  <c r="AU8" i="2"/>
  <c r="AT8" i="2"/>
  <c r="AS8" i="2"/>
  <c r="AU7" i="2"/>
  <c r="AT7" i="2"/>
  <c r="AS7" i="2"/>
  <c r="F7" i="2"/>
  <c r="F8" i="2"/>
  <c r="F9" i="2"/>
  <c r="F10" i="2"/>
  <c r="F11" i="2"/>
  <c r="F12" i="2"/>
  <c r="F13" i="2"/>
  <c r="L4" i="7" a="1"/>
  <c r="L4" i="7" s="1"/>
  <c r="O21" i="9"/>
  <c r="N21" i="9"/>
  <c r="M21" i="9"/>
  <c r="L21" i="9"/>
  <c r="K21" i="9"/>
  <c r="J21" i="9"/>
  <c r="I21" i="9"/>
  <c r="H21" i="9"/>
  <c r="G21" i="9"/>
  <c r="F21" i="9"/>
  <c r="E21" i="9"/>
  <c r="D21" i="9"/>
  <c r="B21" i="9"/>
  <c r="O20" i="9"/>
  <c r="N20" i="9"/>
  <c r="M20" i="9"/>
  <c r="L20" i="9"/>
  <c r="K20" i="9"/>
  <c r="J20" i="9"/>
  <c r="I20" i="9"/>
  <c r="H20" i="9"/>
  <c r="G20" i="9"/>
  <c r="F20" i="9"/>
  <c r="E20" i="9"/>
  <c r="D20" i="9"/>
  <c r="B20" i="9"/>
  <c r="O19" i="9"/>
  <c r="N19" i="9"/>
  <c r="M19" i="9"/>
  <c r="L19" i="9"/>
  <c r="K19" i="9"/>
  <c r="J19" i="9"/>
  <c r="I19" i="9"/>
  <c r="H19" i="9"/>
  <c r="G19" i="9"/>
  <c r="F19" i="9"/>
  <c r="E19" i="9"/>
  <c r="D19" i="9"/>
  <c r="B19" i="9"/>
  <c r="O18" i="9"/>
  <c r="N18" i="9"/>
  <c r="M18" i="9"/>
  <c r="L18" i="9"/>
  <c r="K18" i="9"/>
  <c r="J18" i="9"/>
  <c r="I18" i="9"/>
  <c r="H18" i="9"/>
  <c r="G18" i="9"/>
  <c r="F18" i="9"/>
  <c r="E18" i="9"/>
  <c r="D18" i="9"/>
  <c r="B18" i="9"/>
  <c r="O17" i="9"/>
  <c r="N17" i="9"/>
  <c r="M17" i="9"/>
  <c r="L17" i="9"/>
  <c r="K17" i="9"/>
  <c r="J17" i="9"/>
  <c r="I17" i="9"/>
  <c r="H17" i="9"/>
  <c r="G17" i="9"/>
  <c r="F17" i="9"/>
  <c r="E17" i="9"/>
  <c r="D17" i="9"/>
  <c r="B17" i="9"/>
  <c r="O16" i="9"/>
  <c r="N16" i="9"/>
  <c r="M16" i="9"/>
  <c r="L16" i="9"/>
  <c r="K16" i="9"/>
  <c r="J16" i="9"/>
  <c r="I16" i="9"/>
  <c r="H16" i="9"/>
  <c r="G16" i="9"/>
  <c r="F16" i="9"/>
  <c r="E16" i="9"/>
  <c r="D16" i="9"/>
  <c r="B7" i="9" a="1"/>
  <c r="B2" i="9"/>
  <c r="B17" i="3" a="1"/>
  <c r="B17" i="3" s="1"/>
  <c r="B14" i="3"/>
  <c r="B28" i="3"/>
  <c r="B29" i="3"/>
  <c r="B30" i="3"/>
  <c r="B31" i="3"/>
  <c r="B27" i="3"/>
  <c r="D27" i="3"/>
  <c r="E27" i="3"/>
  <c r="F27" i="3"/>
  <c r="G27" i="3"/>
  <c r="H27" i="3"/>
  <c r="I27" i="3"/>
  <c r="J27" i="3"/>
  <c r="K27" i="3"/>
  <c r="L27" i="3"/>
  <c r="M27" i="3"/>
  <c r="N27" i="3"/>
  <c r="O27" i="3"/>
  <c r="D28" i="3"/>
  <c r="E28" i="3"/>
  <c r="F28" i="3"/>
  <c r="G28" i="3"/>
  <c r="H28" i="3"/>
  <c r="I28" i="3"/>
  <c r="J28" i="3"/>
  <c r="K28" i="3"/>
  <c r="L28" i="3"/>
  <c r="M28" i="3"/>
  <c r="N28" i="3"/>
  <c r="O28" i="3"/>
  <c r="D29" i="3"/>
  <c r="E29" i="3"/>
  <c r="F29" i="3"/>
  <c r="G29" i="3"/>
  <c r="H29" i="3"/>
  <c r="I29" i="3"/>
  <c r="J29" i="3"/>
  <c r="K29" i="3"/>
  <c r="L29" i="3"/>
  <c r="M29" i="3"/>
  <c r="N29" i="3"/>
  <c r="O29" i="3"/>
  <c r="D30" i="3"/>
  <c r="E30" i="3"/>
  <c r="F30" i="3"/>
  <c r="G30" i="3"/>
  <c r="H30" i="3"/>
  <c r="I30" i="3"/>
  <c r="J30" i="3"/>
  <c r="K30" i="3"/>
  <c r="L30" i="3"/>
  <c r="M30" i="3"/>
  <c r="N30" i="3"/>
  <c r="O30" i="3"/>
  <c r="D31" i="3"/>
  <c r="E31" i="3"/>
  <c r="F31" i="3"/>
  <c r="G31" i="3"/>
  <c r="H31" i="3"/>
  <c r="I31" i="3"/>
  <c r="J31" i="3"/>
  <c r="K31" i="3"/>
  <c r="L31" i="3"/>
  <c r="M31" i="3"/>
  <c r="N31" i="3"/>
  <c r="O31" i="3"/>
  <c r="E26" i="3"/>
  <c r="F26" i="3"/>
  <c r="G26" i="3"/>
  <c r="H26" i="3"/>
  <c r="I26" i="3"/>
  <c r="J26" i="3"/>
  <c r="K26" i="3"/>
  <c r="L26" i="3"/>
  <c r="M26" i="3"/>
  <c r="N26" i="3"/>
  <c r="O26" i="3"/>
  <c r="D26" i="3"/>
  <c r="V3" i="2"/>
  <c r="AM3" i="2" s="1"/>
  <c r="W3" i="2"/>
  <c r="X3" i="2"/>
  <c r="Y3" i="2"/>
  <c r="Z3" i="2"/>
  <c r="AA3" i="2"/>
  <c r="AB3" i="2"/>
  <c r="AC3" i="2"/>
  <c r="AD3" i="2"/>
  <c r="AE3" i="2"/>
  <c r="AF3" i="2"/>
  <c r="AT3" i="2" s="1"/>
  <c r="U3" i="2"/>
  <c r="AS3" i="2" s="1"/>
  <c r="C7" i="11" a="1"/>
  <c r="C7" i="11" l="1"/>
  <c r="AC18" i="15"/>
  <c r="M8" i="7" s="1"/>
  <c r="P31" i="15"/>
  <c r="P31" i="14"/>
  <c r="P27" i="15"/>
  <c r="P29" i="15"/>
  <c r="P30" i="15"/>
  <c r="AC14" i="15"/>
  <c r="G8" i="7" s="1"/>
  <c r="B17" i="15"/>
  <c r="H17" i="15" s="1" a="1"/>
  <c r="H17" i="15" s="1"/>
  <c r="U17" i="15" s="1"/>
  <c r="P28" i="15"/>
  <c r="P14" i="15"/>
  <c r="P26" i="15"/>
  <c r="I6" i="7"/>
  <c r="P27" i="14"/>
  <c r="P29" i="14"/>
  <c r="P31" i="12"/>
  <c r="P30" i="14"/>
  <c r="AC14" i="14"/>
  <c r="G7" i="7" s="1"/>
  <c r="P14" i="14"/>
  <c r="P28" i="14"/>
  <c r="B17" i="14"/>
  <c r="P26" i="14"/>
  <c r="AC18" i="14"/>
  <c r="M7" i="7" s="1"/>
  <c r="P14" i="13"/>
  <c r="P31" i="13"/>
  <c r="P27" i="13"/>
  <c r="P28" i="13"/>
  <c r="P29" i="13"/>
  <c r="P30" i="13"/>
  <c r="B17" i="13"/>
  <c r="E17" i="13" s="1" a="1"/>
  <c r="R18" i="13" s="1"/>
  <c r="P26" i="13"/>
  <c r="J10" i="9"/>
  <c r="K10" i="9"/>
  <c r="L10" i="9"/>
  <c r="M10" i="9"/>
  <c r="N10" i="9"/>
  <c r="F10" i="9"/>
  <c r="H10" i="9"/>
  <c r="O10" i="9"/>
  <c r="G10" i="9"/>
  <c r="I10" i="9"/>
  <c r="I9" i="9"/>
  <c r="E10" i="9"/>
  <c r="D9" i="9"/>
  <c r="D10" i="9"/>
  <c r="AC18" i="12"/>
  <c r="M5" i="7" s="1"/>
  <c r="AC19" i="12"/>
  <c r="N5" i="7" s="1"/>
  <c r="L9" i="9"/>
  <c r="J9" i="9"/>
  <c r="K9" i="9"/>
  <c r="D8" i="9"/>
  <c r="I8" i="9"/>
  <c r="K8" i="9"/>
  <c r="J8" i="9"/>
  <c r="H8" i="9"/>
  <c r="H9" i="9"/>
  <c r="G8" i="9"/>
  <c r="G9" i="9"/>
  <c r="F8" i="9"/>
  <c r="F9" i="9"/>
  <c r="E8" i="9"/>
  <c r="E9" i="9"/>
  <c r="O8" i="9"/>
  <c r="O9" i="9"/>
  <c r="P27" i="12"/>
  <c r="N8" i="9"/>
  <c r="N9" i="9"/>
  <c r="M8" i="9"/>
  <c r="M9" i="9"/>
  <c r="P14" i="3"/>
  <c r="L8" i="9"/>
  <c r="AC14" i="3"/>
  <c r="P30" i="12"/>
  <c r="AC14" i="12"/>
  <c r="G5" i="7" s="1"/>
  <c r="P28" i="12"/>
  <c r="P14" i="12"/>
  <c r="B17" i="12"/>
  <c r="G17" i="12" s="1" a="1"/>
  <c r="G17" i="12" s="1"/>
  <c r="P29" i="12"/>
  <c r="P26" i="12"/>
  <c r="U13" i="9"/>
  <c r="U12" i="9"/>
  <c r="U11" i="9"/>
  <c r="U10" i="9"/>
  <c r="U9" i="9"/>
  <c r="U8" i="9"/>
  <c r="U7" i="9"/>
  <c r="W13" i="9"/>
  <c r="W10" i="9"/>
  <c r="W9" i="9"/>
  <c r="W7" i="9"/>
  <c r="X13" i="9"/>
  <c r="X11" i="9"/>
  <c r="X9" i="9"/>
  <c r="Y11" i="9"/>
  <c r="Y8" i="9"/>
  <c r="Z11" i="9"/>
  <c r="Z7" i="9"/>
  <c r="V12" i="9"/>
  <c r="AA13" i="9"/>
  <c r="AA12" i="9"/>
  <c r="AA11" i="9"/>
  <c r="AA10" i="9"/>
  <c r="AA9" i="9"/>
  <c r="AA8" i="9"/>
  <c r="AA7" i="9"/>
  <c r="Q13" i="9"/>
  <c r="Q12" i="9"/>
  <c r="Q10" i="9"/>
  <c r="Q9" i="9"/>
  <c r="AB13" i="9"/>
  <c r="AB12" i="9"/>
  <c r="AB11" i="9"/>
  <c r="AB10" i="9"/>
  <c r="AB9" i="9"/>
  <c r="AB8" i="9"/>
  <c r="AB7" i="9"/>
  <c r="Q11" i="9"/>
  <c r="Q8" i="9"/>
  <c r="Y13" i="9"/>
  <c r="Z12" i="9"/>
  <c r="Z9" i="9"/>
  <c r="R13" i="9"/>
  <c r="R12" i="9"/>
  <c r="R11" i="9"/>
  <c r="R10" i="9"/>
  <c r="R9" i="9"/>
  <c r="R8" i="9"/>
  <c r="R7" i="9"/>
  <c r="S13" i="9"/>
  <c r="S12" i="9"/>
  <c r="S11" i="9"/>
  <c r="S10" i="9"/>
  <c r="S9" i="9"/>
  <c r="S8" i="9"/>
  <c r="S7" i="9"/>
  <c r="X10" i="9"/>
  <c r="X7" i="9"/>
  <c r="Y10" i="9"/>
  <c r="Y7" i="9"/>
  <c r="Z13" i="9"/>
  <c r="Z8" i="9"/>
  <c r="W12" i="9"/>
  <c r="T13" i="9"/>
  <c r="T12" i="9"/>
  <c r="T11" i="9"/>
  <c r="T10" i="9"/>
  <c r="T9" i="9"/>
  <c r="T8" i="9"/>
  <c r="T7" i="9"/>
  <c r="V13" i="9"/>
  <c r="V11" i="9"/>
  <c r="V10" i="9"/>
  <c r="V9" i="9"/>
  <c r="V8" i="9"/>
  <c r="V7" i="9"/>
  <c r="W11" i="9"/>
  <c r="W8" i="9"/>
  <c r="X12" i="9"/>
  <c r="X8" i="9"/>
  <c r="Y12" i="9"/>
  <c r="Y9" i="9"/>
  <c r="Z10" i="9"/>
  <c r="L17" i="3" a="1"/>
  <c r="G17" i="3" a="1"/>
  <c r="M17" i="3" a="1"/>
  <c r="H17" i="3" a="1"/>
  <c r="N17" i="3" a="1"/>
  <c r="F17" i="3" a="1"/>
  <c r="I17" i="3" a="1"/>
  <c r="O17" i="3" a="1"/>
  <c r="D17" i="3" a="1"/>
  <c r="J17" i="3" a="1"/>
  <c r="E17" i="3" a="1"/>
  <c r="K17" i="3" a="1"/>
  <c r="P19" i="9"/>
  <c r="B7" i="9"/>
  <c r="P17" i="9"/>
  <c r="P21" i="9"/>
  <c r="P18" i="9"/>
  <c r="P16" i="9"/>
  <c r="P20" i="9"/>
  <c r="P26" i="3"/>
  <c r="P30" i="3"/>
  <c r="P28" i="3"/>
  <c r="P29" i="3"/>
  <c r="P27" i="3"/>
  <c r="P31" i="3"/>
  <c r="AL3" i="2"/>
  <c r="AI3" i="2"/>
  <c r="AH3" i="2"/>
  <c r="AJ3" i="2"/>
  <c r="AG3" i="2"/>
  <c r="AQ3" i="2"/>
  <c r="AK3" i="2"/>
  <c r="AR3" i="2"/>
  <c r="AU3" i="2" s="1"/>
  <c r="AO3" i="2"/>
  <c r="AP3" i="2"/>
  <c r="AN3" i="2"/>
  <c r="C19" i="11" a="1"/>
  <c r="C19" i="11" l="1"/>
  <c r="Q26" i="12" a="1"/>
  <c r="Q26" i="12" s="1"/>
  <c r="Q28" i="12" s="1"/>
  <c r="S26" i="15" a="1"/>
  <c r="S26" i="15" s="1"/>
  <c r="S31" i="15" s="1"/>
  <c r="R26" i="15" a="1"/>
  <c r="R26" i="15" s="1"/>
  <c r="R29" i="15" s="1"/>
  <c r="AB26" i="15" a="1"/>
  <c r="AB26" i="15" s="1"/>
  <c r="AB31" i="15" s="1"/>
  <c r="AC10" i="9"/>
  <c r="AA26" i="15" a="1"/>
  <c r="AA26" i="15" s="1"/>
  <c r="AA30" i="15" s="1"/>
  <c r="Q26" i="15" a="1"/>
  <c r="Q26" i="15" s="1"/>
  <c r="Q29" i="15" s="1"/>
  <c r="Y26" i="15" a="1"/>
  <c r="Y26" i="15" s="1"/>
  <c r="Y28" i="15" s="1"/>
  <c r="AA26" i="14" a="1"/>
  <c r="AA26" i="14" s="1"/>
  <c r="AA28" i="14" s="1"/>
  <c r="X26" i="15" a="1"/>
  <c r="X26" i="15" s="1"/>
  <c r="X29" i="15" s="1"/>
  <c r="W26" i="15" a="1"/>
  <c r="W26" i="15" s="1"/>
  <c r="W31" i="15" s="1"/>
  <c r="Z26" i="15" a="1"/>
  <c r="Z26" i="15" s="1"/>
  <c r="Z30" i="15" s="1"/>
  <c r="V26" i="15" a="1"/>
  <c r="V26" i="15" s="1"/>
  <c r="V30" i="15" s="1"/>
  <c r="U26" i="15" a="1"/>
  <c r="U26" i="15" s="1"/>
  <c r="T26" i="15" a="1"/>
  <c r="T26" i="15" s="1"/>
  <c r="T28" i="15" s="1"/>
  <c r="O17" i="15" a="1"/>
  <c r="O17" i="15" s="1"/>
  <c r="AB17" i="15" s="1"/>
  <c r="I17" i="15" a="1"/>
  <c r="I17" i="15" s="1"/>
  <c r="V17" i="15" s="1"/>
  <c r="L17" i="13" a="1"/>
  <c r="Y18" i="13" s="1"/>
  <c r="L17" i="15" a="1"/>
  <c r="L17" i="15" s="1"/>
  <c r="Y17" i="15" s="1"/>
  <c r="E3" i="15"/>
  <c r="D3" i="15"/>
  <c r="O3" i="15"/>
  <c r="P3" i="15" s="1"/>
  <c r="N3" i="15"/>
  <c r="M3" i="15"/>
  <c r="L3" i="15"/>
  <c r="K3" i="15"/>
  <c r="J3" i="15"/>
  <c r="I3" i="15"/>
  <c r="H3" i="15"/>
  <c r="G3" i="15"/>
  <c r="F3" i="15"/>
  <c r="F17" i="15" a="1"/>
  <c r="F17" i="15" s="1"/>
  <c r="S17" i="15" s="1"/>
  <c r="AB30" i="15"/>
  <c r="AB29" i="15"/>
  <c r="K17" i="15" a="1"/>
  <c r="K17" i="15" s="1"/>
  <c r="X17" i="15" s="1"/>
  <c r="N17" i="15" a="1"/>
  <c r="N17" i="15" s="1"/>
  <c r="AA17" i="15" s="1"/>
  <c r="E17" i="15" a="1"/>
  <c r="E17" i="15" s="1"/>
  <c r="R17" i="15" s="1"/>
  <c r="G17" i="15" a="1"/>
  <c r="G17" i="15" s="1"/>
  <c r="T17" i="15" s="1"/>
  <c r="J17" i="15" a="1"/>
  <c r="J17" i="15" s="1"/>
  <c r="W17" i="15" s="1"/>
  <c r="M17" i="15" a="1"/>
  <c r="M17" i="15" s="1"/>
  <c r="D17" i="15" a="1"/>
  <c r="P20" i="15" s="1"/>
  <c r="T26" i="14" a="1"/>
  <c r="T26" i="14" s="1"/>
  <c r="T30" i="14" s="1"/>
  <c r="AB26" i="14" a="1"/>
  <c r="AB26" i="14" s="1"/>
  <c r="AB30" i="14" s="1"/>
  <c r="S26" i="14" a="1"/>
  <c r="S26" i="14" s="1"/>
  <c r="S30" i="14" s="1"/>
  <c r="R26" i="14" a="1"/>
  <c r="R26" i="14" s="1"/>
  <c r="R30" i="14" s="1"/>
  <c r="Z26" i="14" a="1"/>
  <c r="Z26" i="14" s="1"/>
  <c r="Q26" i="14" a="1"/>
  <c r="Q26" i="14" s="1"/>
  <c r="Q30" i="14" s="1"/>
  <c r="Y26" i="14" a="1"/>
  <c r="Y26" i="14" s="1"/>
  <c r="Y31" i="14" s="1"/>
  <c r="X26" i="14" a="1"/>
  <c r="X26" i="14" s="1"/>
  <c r="X30" i="14" s="1"/>
  <c r="W26" i="14" a="1"/>
  <c r="W26" i="14" s="1"/>
  <c r="V26" i="14" a="1"/>
  <c r="V26" i="14" s="1"/>
  <c r="V29" i="14" s="1"/>
  <c r="U26" i="14" a="1"/>
  <c r="U26" i="14" s="1"/>
  <c r="U30" i="14" s="1"/>
  <c r="F3" i="14"/>
  <c r="O3" i="14"/>
  <c r="P3" i="14" s="1"/>
  <c r="E3" i="14"/>
  <c r="D3" i="14"/>
  <c r="G3" i="14"/>
  <c r="N3" i="14"/>
  <c r="M3" i="14"/>
  <c r="L3" i="14"/>
  <c r="K3" i="14"/>
  <c r="J3" i="14"/>
  <c r="H3" i="14"/>
  <c r="I3" i="14"/>
  <c r="D17" i="14" a="1"/>
  <c r="AC17" i="14"/>
  <c r="L7" i="7" s="1"/>
  <c r="N17" i="14" a="1"/>
  <c r="N17" i="14" s="1"/>
  <c r="J17" i="14" a="1"/>
  <c r="J17" i="14" s="1"/>
  <c r="H17" i="14" a="1"/>
  <c r="H17" i="14" s="1"/>
  <c r="L17" i="14" a="1"/>
  <c r="L17" i="14" s="1"/>
  <c r="F17" i="14" a="1"/>
  <c r="F17" i="14" s="1"/>
  <c r="I17" i="14" a="1"/>
  <c r="I17" i="14" s="1"/>
  <c r="K17" i="14" a="1"/>
  <c r="K17" i="14" s="1"/>
  <c r="M17" i="14" a="1"/>
  <c r="M17" i="14" s="1"/>
  <c r="E17" i="14" a="1"/>
  <c r="E17" i="14" s="1"/>
  <c r="O17" i="14" a="1"/>
  <c r="O17" i="14" s="1"/>
  <c r="G17" i="14" a="1"/>
  <c r="G17" i="14" s="1"/>
  <c r="V26" i="13" a="1"/>
  <c r="V26" i="13" s="1"/>
  <c r="V31" i="13" s="1"/>
  <c r="U26" i="13" a="1"/>
  <c r="U26" i="13" s="1"/>
  <c r="U27" i="13" s="1"/>
  <c r="T26" i="13" a="1"/>
  <c r="T26" i="13" s="1"/>
  <c r="T14" i="13" s="1"/>
  <c r="R26" i="13" a="1"/>
  <c r="R26" i="13" s="1"/>
  <c r="R30" i="13" s="1"/>
  <c r="AB26" i="13" a="1"/>
  <c r="AB26" i="13" s="1"/>
  <c r="AB27" i="13" s="1"/>
  <c r="Q26" i="13" a="1"/>
  <c r="Q26" i="13" s="1"/>
  <c r="Q14" i="13" s="1"/>
  <c r="S26" i="13" a="1"/>
  <c r="S26" i="13" s="1"/>
  <c r="S14" i="13" s="1"/>
  <c r="AA26" i="13" a="1"/>
  <c r="AA26" i="13" s="1"/>
  <c r="AA28" i="13" s="1"/>
  <c r="Z26" i="13" a="1"/>
  <c r="Z26" i="13" s="1"/>
  <c r="Z31" i="13" s="1"/>
  <c r="Y26" i="13" a="1"/>
  <c r="Y26" i="13" s="1"/>
  <c r="Y29" i="13" s="1"/>
  <c r="W26" i="13" a="1"/>
  <c r="W26" i="13" s="1"/>
  <c r="W30" i="13" s="1"/>
  <c r="X26" i="13" a="1"/>
  <c r="X26" i="13" s="1"/>
  <c r="N17" i="3"/>
  <c r="AA17" i="3" s="1"/>
  <c r="H17" i="3"/>
  <c r="U17" i="3" s="1"/>
  <c r="M17" i="3"/>
  <c r="Z17" i="3" s="1"/>
  <c r="L17" i="3"/>
  <c r="Y17" i="3" s="1"/>
  <c r="J17" i="3"/>
  <c r="W17" i="3" s="1"/>
  <c r="E17" i="3"/>
  <c r="R17" i="3" s="1"/>
  <c r="D17" i="3"/>
  <c r="Q17" i="3" s="1"/>
  <c r="G17" i="3"/>
  <c r="T17" i="3" s="1"/>
  <c r="K17" i="3"/>
  <c r="X17" i="3" s="1"/>
  <c r="O17" i="3"/>
  <c r="AB17" i="3" s="1"/>
  <c r="L3" i="13"/>
  <c r="K3" i="13"/>
  <c r="N3" i="13"/>
  <c r="J3" i="13"/>
  <c r="I3" i="13"/>
  <c r="H3" i="13"/>
  <c r="G3" i="13"/>
  <c r="F3" i="13"/>
  <c r="E3" i="13"/>
  <c r="D3" i="13"/>
  <c r="O3" i="13"/>
  <c r="P3" i="13" s="1"/>
  <c r="M3" i="13"/>
  <c r="I17" i="3"/>
  <c r="V17" i="3" s="1"/>
  <c r="F17" i="3"/>
  <c r="S17" i="3" s="1"/>
  <c r="E17" i="13"/>
  <c r="R17" i="13" s="1"/>
  <c r="R19" i="13"/>
  <c r="I17" i="13" a="1"/>
  <c r="V18" i="13" s="1"/>
  <c r="J17" i="13" a="1"/>
  <c r="W18" i="13" s="1"/>
  <c r="M17" i="13" a="1"/>
  <c r="Z18" i="13" s="1"/>
  <c r="D17" i="13" a="1"/>
  <c r="P20" i="13" s="1"/>
  <c r="G17" i="13" a="1"/>
  <c r="T18" i="13" s="1"/>
  <c r="F17" i="13" a="1"/>
  <c r="S18" i="13" s="1"/>
  <c r="K17" i="13" a="1"/>
  <c r="X18" i="13" s="1"/>
  <c r="N17" i="13" a="1"/>
  <c r="AA18" i="13" s="1"/>
  <c r="H17" i="13" a="1"/>
  <c r="U18" i="13" s="1"/>
  <c r="O17" i="13" a="1"/>
  <c r="AB18" i="13" s="1"/>
  <c r="F17" i="12" a="1"/>
  <c r="F17" i="12" s="1"/>
  <c r="M17" i="12" a="1"/>
  <c r="M17" i="12" s="1"/>
  <c r="W26" i="12" a="1"/>
  <c r="W26" i="12" s="1"/>
  <c r="W29" i="12" s="1"/>
  <c r="AB26" i="12" a="1"/>
  <c r="AB26" i="12" s="1"/>
  <c r="AB28" i="12" s="1"/>
  <c r="L7" i="9"/>
  <c r="D7" i="9"/>
  <c r="M7" i="9"/>
  <c r="N7" i="9"/>
  <c r="O7" i="9"/>
  <c r="I7" i="9"/>
  <c r="E7" i="9"/>
  <c r="F7" i="9"/>
  <c r="G7" i="9"/>
  <c r="H7" i="9"/>
  <c r="J7" i="9"/>
  <c r="K7" i="9"/>
  <c r="D17" i="12" a="1"/>
  <c r="AC17" i="12"/>
  <c r="L5" i="7" s="1"/>
  <c r="O17" i="12" a="1"/>
  <c r="O17" i="12" s="1"/>
  <c r="I17" i="12" a="1"/>
  <c r="I17" i="12" s="1"/>
  <c r="N17" i="12" a="1"/>
  <c r="N17" i="12" s="1"/>
  <c r="J17" i="12" a="1"/>
  <c r="J17" i="12" s="1"/>
  <c r="N3" i="12"/>
  <c r="J3" i="12"/>
  <c r="M3" i="12"/>
  <c r="O3" i="12"/>
  <c r="P3" i="12" s="1"/>
  <c r="L3" i="12"/>
  <c r="K3" i="12"/>
  <c r="E3" i="12"/>
  <c r="D3" i="12"/>
  <c r="I3" i="12"/>
  <c r="H3" i="12"/>
  <c r="C24" i="10"/>
  <c r="G3" i="12"/>
  <c r="F3" i="12"/>
  <c r="K17" i="12" a="1"/>
  <c r="E17" i="12" a="1"/>
  <c r="E17" i="12" s="1"/>
  <c r="V26" i="12" a="1"/>
  <c r="V26" i="12" s="1"/>
  <c r="V28" i="12" s="1"/>
  <c r="U26" i="12" a="1"/>
  <c r="U26" i="12" s="1"/>
  <c r="U30" i="12" s="1"/>
  <c r="AA26" i="12" a="1"/>
  <c r="AA26" i="12" s="1"/>
  <c r="AA31" i="12" s="1"/>
  <c r="T26" i="12" a="1"/>
  <c r="T26" i="12" s="1"/>
  <c r="S26" i="12" a="1"/>
  <c r="S26" i="12" s="1"/>
  <c r="S31" i="12" s="1"/>
  <c r="Z26" i="12" a="1"/>
  <c r="Z26" i="12" s="1"/>
  <c r="Z28" i="12" s="1"/>
  <c r="Y26" i="12" a="1"/>
  <c r="Y26" i="12" s="1"/>
  <c r="Y29" i="12" s="1"/>
  <c r="R26" i="12" a="1"/>
  <c r="R26" i="12" s="1"/>
  <c r="R27" i="12" s="1"/>
  <c r="X26" i="12" a="1"/>
  <c r="X26" i="12" s="1"/>
  <c r="X29" i="12" s="1"/>
  <c r="Q27" i="12"/>
  <c r="Q29" i="12"/>
  <c r="Q31" i="12"/>
  <c r="H17" i="12" a="1"/>
  <c r="H17" i="12" s="1"/>
  <c r="L17" i="12" a="1"/>
  <c r="L17" i="12" s="1"/>
  <c r="U16" i="9" a="1"/>
  <c r="U16" i="9" s="1"/>
  <c r="U19" i="9" s="1"/>
  <c r="AB16" i="9" a="1"/>
  <c r="AB16" i="9" s="1"/>
  <c r="AB21" i="9" s="1"/>
  <c r="V16" i="9" a="1"/>
  <c r="V16" i="9" s="1"/>
  <c r="V19" i="9" s="1"/>
  <c r="T16" i="9" a="1"/>
  <c r="T16" i="9" s="1"/>
  <c r="T19" i="9" s="1"/>
  <c r="X16" i="9" a="1"/>
  <c r="X16" i="9" s="1"/>
  <c r="X21" i="9" s="1"/>
  <c r="S16" i="9" a="1"/>
  <c r="S16" i="9" s="1"/>
  <c r="S19" i="9" s="1"/>
  <c r="R16" i="9" a="1"/>
  <c r="R16" i="9" s="1"/>
  <c r="R21" i="9" s="1"/>
  <c r="AA16" i="9" a="1"/>
  <c r="AA16" i="9" s="1"/>
  <c r="AA21" i="9" s="1"/>
  <c r="Z16" i="9" a="1"/>
  <c r="Z16" i="9" s="1"/>
  <c r="Z20" i="9" s="1"/>
  <c r="Y16" i="9" a="1"/>
  <c r="Y16" i="9" s="1"/>
  <c r="Y19" i="9" s="1"/>
  <c r="AC9" i="9"/>
  <c r="W16" i="9" a="1"/>
  <c r="W16" i="9" s="1"/>
  <c r="W20" i="9" s="1"/>
  <c r="AC8" i="9"/>
  <c r="Q7" i="9"/>
  <c r="AC7" i="9" s="1"/>
  <c r="P21" i="3"/>
  <c r="P20" i="3"/>
  <c r="P19" i="3"/>
  <c r="P18" i="3"/>
  <c r="P22" i="3"/>
  <c r="R31" i="3"/>
  <c r="AB27" i="3"/>
  <c r="Y27" i="3"/>
  <c r="Y30" i="3"/>
  <c r="Y31" i="3"/>
  <c r="Y29" i="3"/>
  <c r="Y28" i="3"/>
  <c r="X29" i="3"/>
  <c r="V30" i="3"/>
  <c r="W27" i="3"/>
  <c r="Q30" i="3"/>
  <c r="T30" i="3"/>
  <c r="AB31" i="3"/>
  <c r="AB30" i="3"/>
  <c r="AB29" i="3"/>
  <c r="AB28" i="3"/>
  <c r="S28" i="3"/>
  <c r="Q31" i="3"/>
  <c r="L3" i="9"/>
  <c r="K3" i="9"/>
  <c r="J3" i="9"/>
  <c r="I3" i="9"/>
  <c r="H3" i="9"/>
  <c r="G3" i="9"/>
  <c r="F3" i="9"/>
  <c r="E3" i="9"/>
  <c r="D3" i="9"/>
  <c r="M3" i="9"/>
  <c r="O3" i="9"/>
  <c r="P3" i="9" s="1"/>
  <c r="N3" i="9"/>
  <c r="O3" i="3"/>
  <c r="P3" i="3" s="1"/>
  <c r="D3" i="3"/>
  <c r="E3" i="3"/>
  <c r="F3" i="3"/>
  <c r="G3" i="3"/>
  <c r="M3" i="3"/>
  <c r="N3" i="3"/>
  <c r="H3" i="3"/>
  <c r="I3" i="3"/>
  <c r="J3" i="3"/>
  <c r="K3" i="3"/>
  <c r="L3" i="3"/>
  <c r="Q30" i="12" l="1"/>
  <c r="AB28" i="15"/>
  <c r="R31" i="15"/>
  <c r="AB27" i="15"/>
  <c r="R30" i="15"/>
  <c r="Y29" i="15"/>
  <c r="D17" i="14"/>
  <c r="P20" i="14"/>
  <c r="Y19" i="13"/>
  <c r="R27" i="15"/>
  <c r="Y31" i="15"/>
  <c r="X28" i="15"/>
  <c r="X27" i="15"/>
  <c r="X30" i="15"/>
  <c r="R28" i="15"/>
  <c r="S30" i="15"/>
  <c r="S27" i="15"/>
  <c r="W27" i="15"/>
  <c r="S29" i="15"/>
  <c r="S28" i="15"/>
  <c r="W29" i="15"/>
  <c r="AA30" i="14"/>
  <c r="AA27" i="14"/>
  <c r="L17" i="13"/>
  <c r="Y17" i="13" s="1"/>
  <c r="AA29" i="14"/>
  <c r="AA31" i="14"/>
  <c r="AA27" i="15"/>
  <c r="Z31" i="15"/>
  <c r="Z29" i="15"/>
  <c r="T27" i="15"/>
  <c r="U30" i="15"/>
  <c r="U28" i="15"/>
  <c r="U27" i="15"/>
  <c r="U31" i="15"/>
  <c r="V29" i="15"/>
  <c r="V27" i="15"/>
  <c r="V28" i="15"/>
  <c r="AC26" i="15"/>
  <c r="H8" i="7" s="1"/>
  <c r="Z27" i="15"/>
  <c r="W30" i="15"/>
  <c r="T30" i="15"/>
  <c r="U29" i="15"/>
  <c r="X31" i="15"/>
  <c r="T29" i="15"/>
  <c r="Y27" i="15"/>
  <c r="Y30" i="15"/>
  <c r="T31" i="15"/>
  <c r="V31" i="15"/>
  <c r="W28" i="15"/>
  <c r="Q31" i="15"/>
  <c r="Q30" i="15"/>
  <c r="Q27" i="15"/>
  <c r="Q28" i="15"/>
  <c r="Z28" i="15"/>
  <c r="AA28" i="15"/>
  <c r="AA31" i="15"/>
  <c r="AA29" i="15"/>
  <c r="AB27" i="14"/>
  <c r="AB31" i="14"/>
  <c r="Q3" i="15"/>
  <c r="R3" i="15"/>
  <c r="W3" i="15"/>
  <c r="V3" i="15"/>
  <c r="U3" i="15"/>
  <c r="T3" i="15"/>
  <c r="S3" i="15"/>
  <c r="AA3" i="15"/>
  <c r="X3" i="15"/>
  <c r="AB3" i="15"/>
  <c r="AC3" i="15" s="1"/>
  <c r="Y3" i="15"/>
  <c r="Z3" i="15"/>
  <c r="S28" i="14"/>
  <c r="AB28" i="14"/>
  <c r="AB29" i="14"/>
  <c r="S29" i="14"/>
  <c r="S31" i="14"/>
  <c r="R31" i="14"/>
  <c r="Q27" i="14"/>
  <c r="T29" i="14"/>
  <c r="D17" i="15"/>
  <c r="P18" i="15"/>
  <c r="P19" i="15"/>
  <c r="T28" i="14"/>
  <c r="T27" i="14"/>
  <c r="T31" i="14"/>
  <c r="S27" i="14"/>
  <c r="Q31" i="14"/>
  <c r="Y30" i="14"/>
  <c r="V30" i="13"/>
  <c r="X28" i="14"/>
  <c r="Y29" i="14"/>
  <c r="V31" i="14"/>
  <c r="V28" i="14"/>
  <c r="V30" i="14"/>
  <c r="Y27" i="14"/>
  <c r="W31" i="14"/>
  <c r="W28" i="14"/>
  <c r="W30" i="14"/>
  <c r="W27" i="14"/>
  <c r="Y28" i="14"/>
  <c r="U28" i="14"/>
  <c r="AC26" i="14"/>
  <c r="H7" i="7" s="1"/>
  <c r="X27" i="14"/>
  <c r="Z29" i="14"/>
  <c r="Z30" i="14"/>
  <c r="Z27" i="14"/>
  <c r="Z28" i="14"/>
  <c r="Z31" i="14"/>
  <c r="U29" i="14"/>
  <c r="X31" i="14"/>
  <c r="W29" i="14"/>
  <c r="X29" i="14"/>
  <c r="V27" i="14"/>
  <c r="Q29" i="14"/>
  <c r="Q28" i="14"/>
  <c r="U27" i="14"/>
  <c r="R29" i="14"/>
  <c r="R27" i="14"/>
  <c r="U31" i="14"/>
  <c r="R28" i="14"/>
  <c r="P17" i="3"/>
  <c r="P17" i="14"/>
  <c r="Q3" i="14"/>
  <c r="T3" i="14"/>
  <c r="S3" i="14"/>
  <c r="R3" i="14"/>
  <c r="AA3" i="14"/>
  <c r="X3" i="14"/>
  <c r="V3" i="14"/>
  <c r="U3" i="14"/>
  <c r="W3" i="14"/>
  <c r="AB3" i="14"/>
  <c r="AC3" i="14" s="1"/>
  <c r="Y3" i="14"/>
  <c r="Z3" i="14"/>
  <c r="Z27" i="13"/>
  <c r="AA27" i="13"/>
  <c r="U28" i="13"/>
  <c r="S27" i="13"/>
  <c r="S31" i="13"/>
  <c r="S29" i="13"/>
  <c r="S30" i="13"/>
  <c r="U31" i="13"/>
  <c r="S28" i="13"/>
  <c r="AB30" i="13"/>
  <c r="U14" i="13"/>
  <c r="P18" i="14"/>
  <c r="R28" i="13"/>
  <c r="P19" i="14"/>
  <c r="Y27" i="13"/>
  <c r="Y30" i="13"/>
  <c r="R14" i="13"/>
  <c r="R31" i="13"/>
  <c r="R27" i="13"/>
  <c r="R29" i="13"/>
  <c r="W14" i="13"/>
  <c r="Z29" i="13"/>
  <c r="AA31" i="13"/>
  <c r="Z14" i="13"/>
  <c r="AA30" i="13"/>
  <c r="Z30" i="13"/>
  <c r="X27" i="13"/>
  <c r="X30" i="13"/>
  <c r="X31" i="13"/>
  <c r="AB29" i="13"/>
  <c r="T27" i="13"/>
  <c r="W29" i="13"/>
  <c r="W31" i="13"/>
  <c r="W28" i="13"/>
  <c r="Y14" i="13"/>
  <c r="Y28" i="13"/>
  <c r="AB31" i="13"/>
  <c r="AB28" i="13"/>
  <c r="X28" i="13"/>
  <c r="V28" i="13"/>
  <c r="W27" i="13"/>
  <c r="AA14" i="13"/>
  <c r="V27" i="13"/>
  <c r="AC26" i="13"/>
  <c r="H6" i="7" s="1"/>
  <c r="AB14" i="13"/>
  <c r="AA29" i="13"/>
  <c r="Q28" i="13"/>
  <c r="Q29" i="13"/>
  <c r="Q30" i="13"/>
  <c r="Q31" i="13"/>
  <c r="Q27" i="13"/>
  <c r="Z28" i="13"/>
  <c r="U30" i="13"/>
  <c r="U29" i="13"/>
  <c r="X14" i="13"/>
  <c r="T28" i="13"/>
  <c r="T30" i="13"/>
  <c r="T29" i="13"/>
  <c r="T31" i="13"/>
  <c r="X29" i="13"/>
  <c r="Y31" i="13"/>
  <c r="V14" i="13"/>
  <c r="V29" i="13"/>
  <c r="Q3" i="13"/>
  <c r="AA3" i="13"/>
  <c r="Y3" i="13"/>
  <c r="X3" i="13"/>
  <c r="W3" i="13"/>
  <c r="U3" i="13"/>
  <c r="T3" i="13"/>
  <c r="S3" i="13"/>
  <c r="R3" i="13"/>
  <c r="Z3" i="13"/>
  <c r="V3" i="13"/>
  <c r="AB3" i="13"/>
  <c r="AC3" i="13" s="1"/>
  <c r="F17" i="13"/>
  <c r="S17" i="13" s="1"/>
  <c r="S19" i="13"/>
  <c r="G17" i="13"/>
  <c r="T17" i="13" s="1"/>
  <c r="T19" i="13"/>
  <c r="U19" i="13"/>
  <c r="H17" i="13"/>
  <c r="U17" i="13" s="1"/>
  <c r="W19" i="13"/>
  <c r="J17" i="13"/>
  <c r="W17" i="13" s="1"/>
  <c r="AA19" i="13"/>
  <c r="N17" i="13"/>
  <c r="AA17" i="13" s="1"/>
  <c r="V19" i="13"/>
  <c r="I17" i="13"/>
  <c r="V17" i="13" s="1"/>
  <c r="Z19" i="13"/>
  <c r="M17" i="13"/>
  <c r="Z17" i="13" s="1"/>
  <c r="AB19" i="13"/>
  <c r="O17" i="13"/>
  <c r="AB17" i="13" s="1"/>
  <c r="D17" i="13"/>
  <c r="Q19" i="13"/>
  <c r="P19" i="13"/>
  <c r="P18" i="13"/>
  <c r="K17" i="13"/>
  <c r="X17" i="13" s="1"/>
  <c r="X19" i="13"/>
  <c r="D17" i="12"/>
  <c r="P20" i="12"/>
  <c r="V30" i="12"/>
  <c r="V27" i="12"/>
  <c r="W30" i="12"/>
  <c r="U29" i="12"/>
  <c r="W27" i="12"/>
  <c r="AB31" i="12"/>
  <c r="AB29" i="12"/>
  <c r="AB30" i="12"/>
  <c r="W28" i="12"/>
  <c r="K17" i="12"/>
  <c r="P19" i="12"/>
  <c r="AB27" i="12"/>
  <c r="V31" i="12"/>
  <c r="W31" i="12"/>
  <c r="X28" i="12"/>
  <c r="X30" i="12"/>
  <c r="AA30" i="12"/>
  <c r="S27" i="12"/>
  <c r="P18" i="12"/>
  <c r="Q3" i="12"/>
  <c r="U3" i="12"/>
  <c r="V3" i="12"/>
  <c r="AA3" i="12"/>
  <c r="R3" i="12"/>
  <c r="S3" i="12"/>
  <c r="Z3" i="12"/>
  <c r="T3" i="12"/>
  <c r="W3" i="12"/>
  <c r="X3" i="12"/>
  <c r="AB3" i="12"/>
  <c r="AC3" i="12" s="1"/>
  <c r="Y3" i="12"/>
  <c r="V29" i="12"/>
  <c r="R30" i="12"/>
  <c r="Z29" i="12"/>
  <c r="Y30" i="12"/>
  <c r="Z31" i="12"/>
  <c r="AA28" i="12"/>
  <c r="AA27" i="12"/>
  <c r="AA29" i="12"/>
  <c r="S28" i="12"/>
  <c r="U28" i="12"/>
  <c r="U31" i="12"/>
  <c r="U27" i="12"/>
  <c r="T30" i="12"/>
  <c r="T27" i="12"/>
  <c r="T31" i="12"/>
  <c r="T29" i="12"/>
  <c r="S30" i="12"/>
  <c r="Y27" i="12"/>
  <c r="Y31" i="12"/>
  <c r="Y28" i="12"/>
  <c r="Z30" i="12"/>
  <c r="X31" i="12"/>
  <c r="X27" i="12"/>
  <c r="T28" i="12"/>
  <c r="S29" i="12"/>
  <c r="Z27" i="12"/>
  <c r="R31" i="12"/>
  <c r="R29" i="12"/>
  <c r="R28" i="12"/>
  <c r="AC26" i="12"/>
  <c r="H5" i="7" s="1"/>
  <c r="U17" i="9"/>
  <c r="U20" i="9"/>
  <c r="U21" i="9"/>
  <c r="T21" i="9"/>
  <c r="T17" i="9"/>
  <c r="V18" i="9"/>
  <c r="T20" i="9"/>
  <c r="T18" i="9"/>
  <c r="U18" i="9"/>
  <c r="V17" i="9"/>
  <c r="V20" i="9"/>
  <c r="V21" i="9"/>
  <c r="AB19" i="9"/>
  <c r="AB20" i="9"/>
  <c r="AB17" i="9"/>
  <c r="AB18" i="9"/>
  <c r="X19" i="9"/>
  <c r="X20" i="9"/>
  <c r="X17" i="9"/>
  <c r="X18" i="9"/>
  <c r="Z21" i="9"/>
  <c r="Y21" i="9"/>
  <c r="R18" i="9"/>
  <c r="Y17" i="9"/>
  <c r="Y18" i="9"/>
  <c r="Z19" i="9"/>
  <c r="Y20" i="9"/>
  <c r="W18" i="9"/>
  <c r="W19" i="9"/>
  <c r="W21" i="9"/>
  <c r="W17" i="9"/>
  <c r="R20" i="9"/>
  <c r="S20" i="9"/>
  <c r="Z17" i="9"/>
  <c r="R17" i="9"/>
  <c r="S21" i="9"/>
  <c r="Z18" i="9"/>
  <c r="R19" i="9"/>
  <c r="S18" i="9"/>
  <c r="AA18" i="9"/>
  <c r="S17" i="9"/>
  <c r="AA20" i="9"/>
  <c r="AA17" i="9"/>
  <c r="AA19" i="9"/>
  <c r="Q16" i="9" a="1"/>
  <c r="Q16" i="9" s="1"/>
  <c r="P7" i="9"/>
  <c r="P8" i="9"/>
  <c r="P9" i="9"/>
  <c r="P11" i="9"/>
  <c r="P10" i="9"/>
  <c r="P12" i="9"/>
  <c r="R27" i="3"/>
  <c r="T28" i="3"/>
  <c r="X30" i="3"/>
  <c r="R30" i="3"/>
  <c r="X28" i="3"/>
  <c r="R29" i="3"/>
  <c r="R28" i="3"/>
  <c r="X27" i="3"/>
  <c r="X31" i="3"/>
  <c r="V31" i="3"/>
  <c r="W29" i="3"/>
  <c r="V29" i="3"/>
  <c r="V28" i="3"/>
  <c r="V27" i="3"/>
  <c r="T29" i="3"/>
  <c r="S31" i="3"/>
  <c r="S30" i="3"/>
  <c r="S29" i="3"/>
  <c r="S27" i="3"/>
  <c r="Q27" i="3"/>
  <c r="Q28" i="3"/>
  <c r="AC26" i="3"/>
  <c r="Q29" i="3"/>
  <c r="W31" i="3"/>
  <c r="W30" i="3"/>
  <c r="W28" i="3"/>
  <c r="T27" i="3"/>
  <c r="T31" i="3"/>
  <c r="Z28" i="3"/>
  <c r="Z30" i="3"/>
  <c r="Z27" i="3"/>
  <c r="Z29" i="3"/>
  <c r="Z31" i="3"/>
  <c r="AA29" i="3"/>
  <c r="AA28" i="3"/>
  <c r="AA31" i="3"/>
  <c r="AA27" i="3"/>
  <c r="AA30" i="3"/>
  <c r="U31" i="3"/>
  <c r="U30" i="3"/>
  <c r="U29" i="3"/>
  <c r="U28" i="3"/>
  <c r="U27" i="3"/>
  <c r="Z3" i="9"/>
  <c r="AA3" i="9"/>
  <c r="U3" i="9"/>
  <c r="S3" i="9"/>
  <c r="V3" i="9"/>
  <c r="Y3" i="9"/>
  <c r="Q3" i="9"/>
  <c r="R3" i="9"/>
  <c r="AB3" i="9"/>
  <c r="AC3" i="9" s="1"/>
  <c r="W3" i="9"/>
  <c r="T3" i="9"/>
  <c r="X3" i="9"/>
  <c r="S3" i="3"/>
  <c r="Q3" i="3"/>
  <c r="AA3" i="3"/>
  <c r="V3" i="3"/>
  <c r="U3" i="3"/>
  <c r="X3" i="3"/>
  <c r="T3" i="3"/>
  <c r="R3" i="3"/>
  <c r="Y3" i="3"/>
  <c r="W3" i="3"/>
  <c r="AB3" i="3"/>
  <c r="AC3" i="3" s="1"/>
  <c r="Z3" i="3"/>
  <c r="I8" i="7" l="1"/>
  <c r="J8" i="7" s="1"/>
  <c r="AC27" i="15"/>
  <c r="AC30" i="15"/>
  <c r="AC31" i="15"/>
  <c r="AC29" i="15"/>
  <c r="AC28" i="15"/>
  <c r="Q17" i="15"/>
  <c r="AC17" i="15" s="1"/>
  <c r="L8" i="7" s="1"/>
  <c r="P17" i="15"/>
  <c r="AC30" i="14"/>
  <c r="AC31" i="14"/>
  <c r="AC27" i="14"/>
  <c r="I7" i="7"/>
  <c r="J7" i="7" s="1"/>
  <c r="AC29" i="13"/>
  <c r="AC28" i="14"/>
  <c r="AC29" i="14"/>
  <c r="P17" i="12"/>
  <c r="AC14" i="13"/>
  <c r="I5" i="7"/>
  <c r="J5" i="7" s="1"/>
  <c r="AC31" i="13"/>
  <c r="AC30" i="13"/>
  <c r="AC28" i="13"/>
  <c r="AC27" i="13"/>
  <c r="AC19" i="13"/>
  <c r="N6" i="7" s="1"/>
  <c r="Q17" i="13"/>
  <c r="AC17" i="13" s="1"/>
  <c r="L6" i="7" s="1"/>
  <c r="P17" i="13"/>
  <c r="AC18" i="13"/>
  <c r="M6" i="7" s="1"/>
  <c r="AC31" i="12"/>
  <c r="AC27" i="12"/>
  <c r="AC30" i="12"/>
  <c r="AC29" i="12"/>
  <c r="AC28" i="12"/>
  <c r="Q21" i="9"/>
  <c r="AC21" i="9" s="1"/>
  <c r="Q19" i="9"/>
  <c r="AC19" i="9" s="1"/>
  <c r="Q18" i="9"/>
  <c r="AC18" i="9" s="1"/>
  <c r="Q17" i="9"/>
  <c r="AC17" i="9" s="1"/>
  <c r="AC16" i="9"/>
  <c r="Q20" i="9"/>
  <c r="AC20" i="9" s="1"/>
  <c r="AC29" i="3"/>
  <c r="AC27" i="3"/>
  <c r="AC30" i="3"/>
  <c r="AC31" i="3"/>
  <c r="AC28" i="3"/>
  <c r="AC22" i="3"/>
  <c r="AC21" i="3"/>
  <c r="AC20" i="3"/>
  <c r="AC19" i="3"/>
  <c r="AC18" i="3"/>
  <c r="F7" i="7" l="1"/>
  <c r="K7" i="7" s="1"/>
  <c r="F8" i="7"/>
  <c r="K8" i="7" s="1"/>
  <c r="F5" i="7"/>
  <c r="K5" i="7" s="1"/>
  <c r="F6" i="7"/>
  <c r="K6" i="7" s="1"/>
  <c r="AC17" i="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python.xml><?xml version="1.0" encoding="utf-8"?>
<python xmlns="http://schemas.microsoft.com/office/spreadsheetml/2023/python">
  <environmentDefinition id="{882DD1B0-6546-4DFA-8A08-902A380B44EA}">
    <initialization userModified="1">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Scripts>
    <pythonScript>
      <code xml:space="preserve"># /vena-scenario-model, PY cell 2. Links the included drivers to the target, unit-free.
# Everything is %% change from its last 12 month average, so any target and any driver units work.
# Tries plain, ridge, lasso and elastic net with time-ordered cross-validation and keeps the lowest error.
# Only straight-line models are offered because the solver has to extrapolate past history.
# Returns 7 rows (included drivers only, in Actuals order, padded) x 4 columns: effect (%% target per 1%% driver), driver base, low, high
# then row 8: intercept, target base, fit R2, typical monthly error, row 9: model name.
import numpy as np, pandas as pd, warnings
warnings.filterwarnings("ignore")
from sklearn.linear_model import LinearRegression, RidgeCV, LassoCV, ElasticNetCV
from sklearn.model_selection import TimeSeriesSplit, cross_val_score
drv = xl(%P2%); inc = xl(%P3%); lim = xl(%P4%)
tgt = np.array(xl(%P5%).iloc[0], dtype=float)
sel = [i for i in range(7) if bool(inc.iloc[i, 0]) and not drv.iloc[i].isna().all()]
X = np.column_stack([drv.iloc[i].astype(float).values for i in sel])
base = X[-12:].mean(axis=0); ybase = tgt[-12:].mean()
Xn = X / base - 1; yn = tgt / ybase - 1
cv = TimeSeriesSplit(4)
cands = {"Linear regression": LinearRegression(),
         "Ridge": RidgeCV(alphas=np.logspace(-8, -2, 13), cv=cv),
         "Lasso": LassoCV(cv=cv, random_state=0),
         "Elastic net": ElasticNetCV(cv=cv, random_state=0)}
best, best_err, model = None, 1e9, None
for nm, m in cands.items():
    try:
        e = -cross_val_score(m, Xn, yn, cv=cv, scoring="neg_mean_absolute_error").mean()
        if e &lt; best_err: best, best_err, model = nm, e, m
    except Exception:
        pass
model.fit(Xn, yn)
r2 = float(model.score(Xn, yn)); mae = float(abs(model.predict(Xn) - yn).mean())
out = []
for j, i in enumerate(sel):
    lo = lim.iloc[i, 0]; hi = lim.iloc[i, 1]
    out.append([round(float(model.coef_[j]), 5), float(base[j]), float(lo) if pd.notna(lo) else -0.1, float(hi) if pd.notna(hi) else 0.1])
while len(out) &lt; 7:
    out.append(["", "", "", ""])
out.append([round(float(model.intercept_), 6), float(ybase), round(r2, 4), round(mae, 4)])
out.append([best, "", "", ""])
pd.DataFrame(out)
</code>
    </pythonScript>
    <pythonScript>
      <code xml:space="preserve"># /vena-scenario-model, PY cell 1. Forecasts each included driver 12 months out.
# Backtests four methods on the last 12 months and keeps the best per driver.
# Returns 7 rows (included drivers only, in Actuals order, padded with blank rows) x 14 columns:
# 12 forecast months, method name, backtest WAPE.
import numpy as np, pandas as pd, warnings
warnings.filterwarnings("ignore")
from statsmodels.tsa.holtwinters import ExponentialSmoothing
from statsmodels.tsa.statespace.sarimax import SARIMAX
from sklearn.linear_model import LinearRegression
drv = xl(%P2%)            # 7 drivers x 36 months, oldest first
inc = xl(%P3%)             # include flags
rows = []
for i in range(7):
    if not bool(inc.iloc[i, 0]) or drv.iloc[i].isna().all():
        continue
    y = drv.iloc[i].astype(float).values; n = len(y); t = np.arange(n)
    def fc(name, y_tr, steps):
        m = len(y_tr)
        if name == "Seasonal growth":
            g = y_tr[-12:].sum() / y_tr[-24:-12].sum() if m &gt;= 24 and y_tr[-24:-12].sum() else 1.0
            return y_tr[-12:] * g
        if name == "ETS":
            return ExponentialSmoothing(y_tr, trend="add", seasonal="add", seasonal_periods=12).fit().forecast(steps)
        if name == "SARIMA":
            return SARIMAX(y_tr, order=(1, 1, 0), seasonal_order=(0, 1, 0, 12)).fit(disp=False).forecast(steps)
        tt = np.arange(m).reshape(-1, 1)
        return LinearRegression().fit(tt, y_tr).predict(np.arange(m, m + steps).reshape(-1, 1))
    scores = {}
    for name in ["Seasonal growth", "ETS", "SARIMA", "Linear trend"]:
        try:
            p = fc(name, y[:-12], 12); scores[name] = float(abs(p - y[-12:]).sum() / max(1e-9, abs(y[-12:]).sum()))
        except Exception:
            pass
    best = min(scores, key=scores.get)
    f = fc(best, y, 12)
    rows.append([float(v) for v in f] + [best, round(scores[best], 4)])
while len(rows) &lt; 7:
    rows.append([""] * 14)
pd.DataFrame(rows)
</code>
    </pythonScript>
  </pythonScripts>
</python>
</file>

<file path=xl/sharedStrings.xml><?xml version="1.0" encoding="utf-8"?>
<sst xmlns="http://schemas.openxmlformats.org/spreadsheetml/2006/main" count="537" uniqueCount="134">
  <si>
    <t>Full Year</t>
  </si>
  <si>
    <t>Actual</t>
  </si>
  <si>
    <t>Drivers</t>
  </si>
  <si>
    <t>Jan</t>
  </si>
  <si>
    <t>Feb</t>
  </si>
  <si>
    <t>Mar</t>
  </si>
  <si>
    <t>Apr</t>
  </si>
  <si>
    <t>May</t>
  </si>
  <si>
    <t>Jun</t>
  </si>
  <si>
    <t>Jul</t>
  </si>
  <si>
    <t>Aug</t>
  </si>
  <si>
    <t>Sep</t>
  </si>
  <si>
    <t>Oct</t>
  </si>
  <si>
    <t>Nov</t>
  </si>
  <si>
    <t>Dec</t>
  </si>
  <si>
    <t>Units sold</t>
  </si>
  <si>
    <t>Average price</t>
  </si>
  <si>
    <t>Unit cost</t>
  </si>
  <si>
    <t>Marketing spend</t>
  </si>
  <si>
    <t>Headcount</t>
  </si>
  <si>
    <t>Cost per FTE</t>
  </si>
  <si>
    <t>Churn Rate</t>
  </si>
  <si>
    <t>Target</t>
  </si>
  <si>
    <t>Gross Margin</t>
  </si>
  <si>
    <t>Comments</t>
  </si>
  <si>
    <t>Aggregation</t>
  </si>
  <si>
    <t>Sum</t>
  </si>
  <si>
    <t>Average</t>
  </si>
  <si>
    <t>Unit</t>
  </si>
  <si>
    <t>Low limit</t>
  </si>
  <si>
    <t>High limit</t>
  </si>
  <si>
    <t>Hist. Range</t>
  </si>
  <si>
    <t>Scenario Modeler</t>
  </si>
  <si>
    <t>Product Revenue</t>
  </si>
  <si>
    <t>Materials</t>
  </si>
  <si>
    <t>Freight and duties</t>
  </si>
  <si>
    <t>Direct labour</t>
  </si>
  <si>
    <t>Service Revenue</t>
  </si>
  <si>
    <t>Summary</t>
  </si>
  <si>
    <t>Scenario</t>
  </si>
  <si>
    <t>Description</t>
  </si>
  <si>
    <t>Mode</t>
  </si>
  <si>
    <t>Objective</t>
  </si>
  <si>
    <t>Gap</t>
  </si>
  <si>
    <t>Gap %</t>
  </si>
  <si>
    <t>Baseline</t>
  </si>
  <si>
    <t>Result</t>
  </si>
  <si>
    <t>Results</t>
  </si>
  <si>
    <t>Set values then run /vena-scenario-model</t>
  </si>
  <si>
    <t>Actuals</t>
  </si>
  <si>
    <t xml:space="preserve">Add Actuals </t>
  </si>
  <si>
    <t>vs Baseline</t>
  </si>
  <si>
    <t>Review all generated Scenarios</t>
  </si>
  <si>
    <t>Recommendation</t>
  </si>
  <si>
    <t>Scenario name</t>
  </si>
  <si>
    <t>Target source</t>
  </si>
  <si>
    <t>Status</t>
  </si>
  <si>
    <t>15% on last year, same seasonality</t>
  </si>
  <si>
    <t>Gross margin set 15% above FY2026 actuals, month by month, keeping last year's seasonal shape. Drivers left blank for the solver.</t>
  </si>
  <si>
    <t>Smallest change</t>
  </si>
  <si>
    <t>Set by me</t>
  </si>
  <si>
    <t>Solved</t>
  </si>
  <si>
    <t>solved</t>
  </si>
  <si>
    <t>Top-down, on target</t>
  </si>
  <si>
    <t>Frame</t>
  </si>
  <si>
    <t>Model</t>
  </si>
  <si>
    <t>Date</t>
  </si>
  <si>
    <t>Prepared by</t>
  </si>
  <si>
    <t>Adam (mandate from Michael, board prep session)</t>
  </si>
  <si>
    <t>AI detail</t>
  </si>
  <si>
    <t>Claude in Excel</t>
  </si>
  <si>
    <t>Strategic goal</t>
  </si>
  <si>
    <t>Constraints and risks</t>
  </si>
  <si>
    <t>Business context</t>
  </si>
  <si>
    <t>Gross margin is the number the board wants to see move. We finished FY2026 at about $10.5M and leadership has committed to just over $12M in FY2027, a 15% lift. The job is not to find the most aggressive path to that number but the one that needs the least change to how we run the business, because every lever has a cost somewhere else. The output has to be walkable in ten minutes: which levers, how far, by when, and what breaks if we are wrong.</t>
  </si>
  <si>
    <t>Only three levers are on the table: volume, average price and unit cost. Headcount is fixed in both directions and cost per FTE cannot move; marketing is already committed for FY2027 and is treated as fixed; churn sits with Sarah and is not treated as a gross margin driver. Price can move at most 5% because roughly half of contracts renew mid-year at negotiated rates that will not be reopened. Procurement believes unit cost can come down 6% at best, but the supplier has signalled an increase, so it could as easily go up 4%. Ops advises that volume growth above 8% strains fulfilment, and we would not plan on losing more than 8% either.</t>
  </si>
  <si>
    <t>FY2026 closed with gross margin of $10.48M on product and service revenue of $26.76M, against materials, freight and direct labour of $16.28M. Over the last three years units sold grew from 19.2k to 21.7k, average price from $1,180 to $1,234, and unit cost from $709 to $751 - so cost inflation has been running close to price. The plan year is 2027. Scenarios will be built on the gross margin dollar row; the board's gross margin percentage will be reported alongside it, not modelled directly.</t>
  </si>
  <si>
    <t>Target account</t>
  </si>
  <si>
    <t>Direction</t>
  </si>
  <si>
    <t>Increase</t>
  </si>
  <si>
    <t>Size of change</t>
  </si>
  <si>
    <t>Basis</t>
  </si>
  <si>
    <t>Last 12 months actual (FY2026)</t>
  </si>
  <si>
    <t>Basis value</t>
  </si>
  <si>
    <t>Target value (full year)</t>
  </si>
  <si>
    <t>Plan year</t>
  </si>
  <si>
    <t>Levers allowed</t>
  </si>
  <si>
    <t>Units sold, Average price, Unit cost</t>
  </si>
  <si>
    <t>Levers excluded and why</t>
  </si>
  <si>
    <t>Marketing spend - committed for FY2027; Headcount - off the table both directions; Cost per FTE - not to be touched; Churn rate - owned by Sarah, not treated as a gross margin driver</t>
  </si>
  <si>
    <t>Guardrail 1</t>
  </si>
  <si>
    <t>Units sold: -8% to +8% - above 8% growth strains fulfilment (Ops); no plan below -8%</t>
  </si>
  <si>
    <t>Guardrail 2</t>
  </si>
  <si>
    <t>Average price: -5% to +5% - about half of contracts renew mid-year at negotiated rates and will not be reopened</t>
  </si>
  <si>
    <t>Guardrail 3</t>
  </si>
  <si>
    <t>Unit cost: -6% to +4% - procurement best case -6%, supplier has signalled an increase of up to +4%</t>
  </si>
  <si>
    <t>Risks to test</t>
  </si>
  <si>
    <t>1. Demand softens 5% (units -5% against plan)
2. Supplier cost increase lands in Q2 (unit cost steps up from April)
3. Price frozen at 0% - the board's first question</t>
  </si>
  <si>
    <t>Success measure</t>
  </si>
  <si>
    <t>The scenario that reaches &gt;= $12.05M full-year gross margin with the smallest total movement across the three levers, and that still holds up under the demand-softening and Q2 supplier-increase stress tests.</t>
  </si>
  <si>
    <t>Driver effects</t>
  </si>
  <si>
    <t>Driver</t>
  </si>
  <si>
    <t>Effect (% target per 1% driver)</t>
  </si>
  <si>
    <t>Base (last 12 mo avg)</t>
  </si>
  <si>
    <t>Intercept / Target base / Fit / Typical error</t>
  </si>
  <si>
    <t>Model chosen</t>
  </si>
  <si>
    <t>Baseline driver forecast, plan year</t>
  </si>
  <si>
    <t>Method</t>
  </si>
  <si>
    <t>Backtest WAPE</t>
  </si>
  <si>
    <t>What this model is</t>
  </si>
  <si>
    <t>A unit-free linear regression linking the three included drivers - units sold, average price and unit cost - to monthly gross margin dollars. Every input is expressed as a % change from its own last-12-month average, so the effects read directly as elasticities: a 1% increase in units sold raises gross margin about 0.98%, a 1% increase in average price raises it about 2.42%, and a 1% increase in unit cost lowers it about 1.44%. All three signs are economically correct. The baseline driver forecast above is the do-nothing path: units and price by seasonal growth, unit cost by linear trend, each method picked by backtesting the last 12 months.</t>
  </si>
  <si>
    <t>How good it is</t>
  </si>
  <si>
    <t>The fit is R-squared 0.9998 with a typical monthly error of 0.13%, about $1.1k on an average month of $873k. That is unusually tight because gross margin is close to an arithmetic consequence of volume, price and unit cost rather than a noisy behavioural relationship. Backtest error on the driver forecasts was 2.3% for units sold, 0.3% for average price and 0.4% for unit cost.</t>
  </si>
  <si>
    <t>When to trust it</t>
  </si>
  <si>
    <t>Inside the guardrails set on Actuals - units -8% to +8%, price -5% to +5%, unit cost -6% to +4% - the model is interpolating across ranges history has already covered, and should be reliable to within a low single-digit percentage. Push a driver well beyond those limits and the straight-line effects stop holding, because volume and price interact in the real business in ways a linear fit cannot see.</t>
  </si>
  <si>
    <t>What it cannot do</t>
  </si>
  <si>
    <t>Two limits matter for the board conversation. First, the drivers are treated as independent: the model will happily raise price 5% and volume 8% at the same time and will not dock you for the demand that a price rise would cost. Any scenario that leans on both at once should be read as an upper bound. Second, the effects are historical averages over 36 months; they describe the mix and cost structure we have had, not a restructured one. Excluded levers - marketing, headcount, cost per FTE and churn - sit inside the intercept, which means their historical contribution is held flat, exactly as the mandate requires.</t>
  </si>
  <si>
    <t>Holiday promo: price -10%, units +25% in Nov-Dec</t>
  </si>
  <si>
    <t>Bottom-up. Nov and Dec priced 10% below FY2026 with 25% more units; every other month and unit cost all year held at FY2026 actuals. No target set - the model predicts the gross margin outcome.</t>
  </si>
  <si>
    <t>Not set</t>
  </si>
  <si>
    <t>Typed</t>
  </si>
  <si>
    <t>Bottom-up, predicted from your driver values</t>
  </si>
  <si>
    <t>locked - Nov-Dec units = FY2026 x 1.25, other months FY2026</t>
  </si>
  <si>
    <t>locked - Nov-Dec price = FY2026 x 0.90, other months FY2026</t>
  </si>
  <si>
    <t>locked - unit cost held at FY2026 all year</t>
  </si>
  <si>
    <t>Price held at $1,250, solve volume and cost</t>
  </si>
  <si>
    <t>Hybrid. Average price locked flat at $1,250 a month, roughly today's level and 1.1% below the 2027 baseline forecast. The solver finds the smallest move in units sold and unit cost, inside their limits, that still reaches the 15% target.</t>
  </si>
  <si>
    <t>locked at $1,250 every month</t>
  </si>
  <si>
    <t>Mixed</t>
  </si>
  <si>
    <t>Hybrid, on target</t>
  </si>
  <si>
    <t>Volume capped at 23,400 units, solve price and cost</t>
  </si>
  <si>
    <t>Hybrid. Units sold locked at a typed monthly profile totalling about 23,400 for the year, roughly the 8% fulfilment ceiling Ops will accept. The solver finds the smallest move in average price and unit cost, inside their limits, that still reaches the 15% target.</t>
  </si>
  <si>
    <t>locked - typed monthly volume, about 23,400 for the year</t>
  </si>
  <si>
    <t>Scenario 1 remains the recommendation, with Scenario 4 as the same plan expressed in a way Ops can sign. Both land FY2027 gross margin at $12,050,281, exactly the 15% promised, and $647,411 above the $11,402,870 we get by doing nothing. Both ask about the same of the business: price up roughly 1.6% and unit cost down roughly 1.0% against the 2027 run rate, with volume up under 1%. In board units that is average price from $1,234 to $1,285 through the January renewal cycle, unit cost inflation held to under 2% at about $765, and volume from 21,667 to roughly 23,400. Price carries the plan, because a 1% price move is worth 2.4 times a 1% volume move on gross margin. The useful finding from Scenario 4 is that capping volume at the 8% fulfilment ceiling costs nothing, because the target never needed more volume than that, so Ops can hold the line without putting the number at risk. Scenario 3 answers the board's first question and reaches the target with price frozen at $1,250, but only by pushing volume to 23,893, which is 10.3% above last year and past the ceiling, while asking Procurement for a real cost reduction in a year the supplier has signalled an increase. Scenario 2 is the cautionary case: discounting into November and December returns $10,529,593, about $873,000 below doing nothing. The risks are unchanged and they are larger than the gain: demand softening 5% costs about $590,000 and a 4% supplier increase landing in Q2 costs about $694,000, so either one on its own erases the whole improvement. If the board wants a cushion beyond that, the only lever left is price, and that means reopening the mid-year contracts.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</si>
</sst>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164" formatCode="_(* #,##0_);_(* \(#,##0\);_(* &quot;-&quot;_);_(@_)"/>
    <numFmt numFmtId="165" formatCode="\ \ #&quot;▾&quot;;\ \-#&quot;▾&quot;;\ &quot;▾&quot;;\ @&quot;▾&quot;"/>
    <numFmt numFmtId="166" formatCode="_(* #,##0_);_(* \(#,##0\);_(* &quot;-&quot;_);_(@"/>
    <numFmt numFmtId="167" formatCode="[$-409]\ mmm\ \'yy;@"/>
    <numFmt numFmtId="168" formatCode="\ 0;\ \-0;\ 0;\ @\ "/>
    <numFmt numFmtId="169" formatCode="_(* #,##0_);_(* \(#,##0\);_(* &quot;-&quot;_);@"/>
    <numFmt numFmtId="170" formatCode="#,##0.0%;\(#,##0.0%\);&quot;-&quot;;@"/>
    <numFmt numFmtId="171" formatCode="[$-409]mmm/d/yyyy\ ;"/>
    <numFmt numFmtId="172" formatCode="[Color53]\ \✗;#;\ \✓;@"/>
    <numFmt numFmtId="173" formatCode="#\ &quot;Rows&quot;;&quot; &quot;\ \-#\ &quot;Rows&quot;\ ;&quot;&quot;;@"/>
    <numFmt numFmtId="174" formatCode="0.0%"/>
    <numFmt numFmtId="175" formatCode="&quot;$&quot;#,##0;\(&quot;$&quot;#,##0\);&quot;-&quot;;@"/>
    <numFmt numFmtId="176" formatCode="0.000"/>
    <numFmt numFmtId="177" formatCode="0.000000"/>
    <numFmt numFmtId="178" formatCode="&quot;$&quot;#,##0"/>
    <numFmt numFmtId="179" formatCode="&quot;$&quot;#,##0;\(&quot;$&quot;#,##0\);&quot;-&quot;"/>
  </numFmts>
  <fonts count="24" x14ac:knownFonts="1">
    <font>
      <sz val="9"/>
      <color theme="1" tint="9.9948118533890809E-2"/>
      <name val="Arial Nova"/>
      <family val="2"/>
      <scheme val="minor"/>
    </font>
    <font>
      <sz val="9"/>
      <color theme="1" tint="9.9948118533890809E-2"/>
      <name val="Arial Nova"/>
      <family val="2"/>
      <scheme val="minor"/>
    </font>
    <font>
      <sz val="11"/>
      <color theme="0"/>
      <name val="Franklin Gothic Medium Cond"/>
      <family val="2"/>
      <scheme val="major"/>
    </font>
    <font>
      <sz val="9"/>
      <color theme="2"/>
      <name val="Arial Nova"/>
      <family val="2"/>
      <scheme val="minor"/>
    </font>
    <font>
      <sz val="9"/>
      <color theme="1"/>
      <name val="Arial Nova"/>
      <family val="2"/>
      <scheme val="minor"/>
    </font>
    <font>
      <b/>
      <sz val="10"/>
      <color theme="3"/>
      <name val="Arial Nova"/>
      <family val="2"/>
      <scheme val="minor"/>
    </font>
    <font>
      <b/>
      <sz val="9"/>
      <color theme="1" tint="9.9917600024414813E-2"/>
      <name val="Arial Nova"/>
      <family val="2"/>
      <scheme val="minor"/>
    </font>
    <font>
      <b/>
      <sz val="9"/>
      <color theme="1"/>
      <name val="Arial Nova"/>
      <family val="2"/>
      <scheme val="minor"/>
    </font>
    <font>
      <b/>
      <sz val="9"/>
      <color rgb="FFC34F2E"/>
      <name val="Arial Nova"/>
      <family val="2"/>
      <scheme val="minor"/>
    </font>
    <font>
      <b/>
      <sz val="24"/>
      <color theme="0"/>
      <name val="Franklin Gothic Medium Cond"/>
      <family val="2"/>
      <scheme val="major"/>
    </font>
    <font>
      <sz val="9"/>
      <color theme="3"/>
      <name val="Arial Nova"/>
      <family val="2"/>
      <scheme val="minor"/>
    </font>
    <font>
      <sz val="11"/>
      <color rgb="FF006100"/>
      <name val="Arial Nova"/>
      <family val="2"/>
      <scheme val="minor"/>
    </font>
    <font>
      <sz val="11"/>
      <color rgb="FF9C0006"/>
      <name val="Arial Nova"/>
      <family val="2"/>
      <scheme val="minor"/>
    </font>
    <font>
      <sz val="11"/>
      <color rgb="FF9C5700"/>
      <name val="Arial Nova"/>
      <family val="2"/>
      <scheme val="minor"/>
    </font>
    <font>
      <b/>
      <sz val="9"/>
      <color theme="1" tint="0.24994659260841701"/>
      <name val="Arial Nova"/>
      <family val="2"/>
      <scheme val="minor"/>
    </font>
    <font>
      <b/>
      <sz val="20"/>
      <color theme="3"/>
      <name val="Franklin Gothic Medium Cond"/>
      <family val="2"/>
      <scheme val="major"/>
    </font>
    <font>
      <b/>
      <sz val="11"/>
      <color theme="1"/>
      <name val="Arial Nova"/>
      <family val="2"/>
      <scheme val="minor"/>
    </font>
    <font>
      <b/>
      <sz val="14"/>
      <color theme="1"/>
      <name val="Arial Nova"/>
      <family val="2"/>
      <scheme val="minor"/>
    </font>
    <font>
      <sz val="8"/>
      <name val="Arial Nova"/>
      <family val="2"/>
      <scheme val="minor"/>
    </font>
    <font>
      <sz val="12"/>
      <color theme="0"/>
      <name val="Franklin Gothic Medium Cond"/>
      <family val="2"/>
      <scheme val="major"/>
    </font>
    <font>
      <sz val="14"/>
      <color theme="0"/>
      <name val="Franklin Gothic Medium Cond"/>
      <family val="2"/>
      <scheme val="major"/>
    </font>
    <font>
      <b/>
      <sz val="9"/>
      <color theme="2"/>
      <name val="Arial Nova"/>
      <family val="2"/>
      <scheme val="minor"/>
    </font>
    <font>
      <sz val="11"/>
      <color theme="3"/>
      <name val="Arial Nova"/>
      <family val="2"/>
      <scheme val="minor"/>
    </font>
    <font>
      <b/>
      <sz val="9"/>
      <color theme="1" tint="9.9948118533890809E-2"/>
      <name val="Arial Nova"/>
      <family val="2"/>
      <scheme val="minor"/>
    </font>
  </fonts>
  <fills count="13">
    <fill>
      <patternFill patternType="none"/>
    </fill>
    <fill>
      <patternFill patternType="gray125"/>
    </fill>
    <fill>
      <patternFill patternType="solid">
        <fgColor theme="0" tint="-4.9989318521683403E-2"/>
        <bgColor indexed="64"/>
      </patternFill>
    </fill>
    <fill>
      <patternFill patternType="solid">
        <fgColor theme="3"/>
        <bgColor indexed="64"/>
      </patternFill>
    </fill>
    <fill>
      <patternFill patternType="solid">
        <fgColor theme="3" tint="-0.24994659260841701"/>
        <bgColor theme="3"/>
      </patternFill>
    </fill>
    <fill>
      <patternFill patternType="solid">
        <fgColor theme="3"/>
        <bgColor theme="0"/>
      </patternFill>
    </fill>
    <fill>
      <patternFill patternType="solid">
        <fgColor theme="2" tint="0.79998168889431442"/>
        <bgColor indexed="64"/>
      </patternFill>
    </fill>
    <fill>
      <gradientFill degree="90">
        <stop position="0">
          <color theme="0"/>
        </stop>
        <stop position="1">
          <color theme="2" tint="0.80001220740379042"/>
        </stop>
      </gradientFill>
    </fill>
    <fill>
      <patternFill patternType="solid">
        <fgColor rgb="FFC6EFCE"/>
      </patternFill>
    </fill>
    <fill>
      <patternFill patternType="solid">
        <fgColor rgb="FFFFC7CE"/>
      </patternFill>
    </fill>
    <fill>
      <patternFill patternType="solid">
        <fgColor rgb="FFFFEB9C"/>
      </patternFill>
    </fill>
    <fill>
      <patternFill patternType="solid">
        <fgColor theme="0" tint="-0.14996795556505021"/>
        <bgColor indexed="64"/>
      </patternFill>
    </fill>
    <fill>
      <gradientFill degree="90">
        <stop position="0">
          <color theme="3" tint="0.40000610370189521"/>
        </stop>
        <stop position="1">
          <color theme="3"/>
        </stop>
      </gradientFill>
    </fill>
  </fills>
  <borders count="16">
    <border>
      <left/>
      <right/>
      <top/>
      <bottom/>
      <diagonal/>
    </border>
    <border>
      <left style="medium">
        <color theme="3"/>
      </left>
      <right style="medium">
        <color theme="3"/>
      </right>
      <top/>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style="thin">
        <color theme="0" tint="-0.14996795556505021"/>
      </bottom>
      <diagonal/>
    </border>
    <border>
      <left/>
      <right/>
      <top style="medium">
        <color theme="0" tint="-0.24994659260841701"/>
      </top>
      <bottom/>
      <diagonal/>
    </border>
    <border>
      <left style="thin">
        <color theme="0"/>
      </left>
      <right style="thin">
        <color theme="0"/>
      </right>
      <top style="thin">
        <color theme="0"/>
      </top>
      <bottom style="thin">
        <color theme="0"/>
      </bottom>
      <diagonal/>
    </border>
    <border>
      <left/>
      <right/>
      <top/>
      <bottom style="thick">
        <color theme="3"/>
      </bottom>
      <diagonal/>
    </border>
    <border>
      <left/>
      <right/>
      <top/>
      <bottom style="thin">
        <color theme="0" tint="-9.9948118533890809E-2"/>
      </bottom>
      <diagonal/>
    </border>
    <border>
      <left style="thin">
        <color rgb="FFF0F0F0"/>
      </left>
      <right style="thin">
        <color rgb="FFF0F0F0"/>
      </right>
      <top style="thin">
        <color rgb="FFF0F0F0"/>
      </top>
      <bottom style="thin">
        <color rgb="FFF0F0F0"/>
      </bottom>
      <diagonal/>
    </border>
    <border>
      <left style="medium">
        <color rgb="FF418154"/>
      </left>
      <right style="medium">
        <color rgb="FF418154"/>
      </right>
      <top/>
      <bottom/>
      <diagonal/>
    </border>
    <border>
      <left/>
      <right/>
      <top style="thick">
        <color theme="0" tint="-0.24994659260841701"/>
      </top>
      <bottom/>
      <diagonal/>
    </border>
    <border>
      <left style="dashed">
        <color theme="0" tint="-0.24994659260841701"/>
      </left>
      <right style="dashed">
        <color theme="0" tint="-0.24994659260841701"/>
      </right>
      <top style="dashed">
        <color theme="0" tint="-0.24994659260841701"/>
      </top>
      <bottom style="dashed">
        <color theme="0" tint="-0.24994659260841701"/>
      </bottom>
      <diagonal/>
    </border>
    <border>
      <left/>
      <right/>
      <top/>
      <bottom style="medium">
        <color theme="0" tint="-0.24994659260841701"/>
      </bottom>
      <diagonal/>
    </border>
    <border>
      <left/>
      <right/>
      <top/>
      <bottom style="thin">
        <color theme="0" tint="-4.9989318521683403E-2"/>
      </bottom>
      <diagonal/>
    </border>
    <border>
      <left style="thin">
        <color theme="0" tint="-4.9989318521683403E-2"/>
      </left>
      <right/>
      <top/>
      <bottom style="thin">
        <color theme="0" tint="-4.9989318521683403E-2"/>
      </bottom>
      <diagonal/>
    </border>
    <border>
      <left/>
      <right style="thin">
        <color theme="0" tint="-4.9989318521683403E-2"/>
      </right>
      <top/>
      <bottom style="thin">
        <color theme="0" tint="-4.9989318521683403E-2"/>
      </bottom>
      <diagonal/>
    </border>
  </borders>
  <cellStyleXfs count="30">
    <xf numFmtId="0" fontId="0" fillId="2" borderId="0">
      <alignment horizontal="left" vertical="center"/>
    </xf>
    <xf numFmtId="9" fontId="4" fillId="0" borderId="0" applyFont="0" applyFill="0" applyBorder="0" applyProtection="0">
      <alignment horizontal="right" vertical="center"/>
    </xf>
    <xf numFmtId="0" fontId="9" fillId="3" borderId="0">
      <alignment horizontal="left" vertical="center"/>
    </xf>
    <xf numFmtId="0" fontId="15" fillId="2" borderId="6">
      <alignment horizontal="left" vertical="center"/>
    </xf>
    <xf numFmtId="0" fontId="17" fillId="11" borderId="12">
      <alignment horizontal="left" vertical="center"/>
    </xf>
    <xf numFmtId="0" fontId="16" fillId="11" borderId="0">
      <alignment horizontal="left" vertical="center"/>
    </xf>
    <xf numFmtId="0" fontId="5" fillId="2" borderId="0">
      <alignment horizontal="left" vertical="center"/>
    </xf>
    <xf numFmtId="166" fontId="1" fillId="6" borderId="2">
      <alignment horizontal="left" vertical="center"/>
      <protection locked="0"/>
    </xf>
    <xf numFmtId="164" fontId="1" fillId="0" borderId="8">
      <alignment horizontal="left" vertical="center"/>
    </xf>
    <xf numFmtId="166" fontId="3" fillId="0" borderId="2">
      <alignment horizontal="left" vertical="center"/>
    </xf>
    <xf numFmtId="164" fontId="10" fillId="0" borderId="2">
      <alignment horizontal="left" vertical="center"/>
    </xf>
    <xf numFmtId="172" fontId="14" fillId="2" borderId="3">
      <alignment horizontal="left" vertical="center"/>
    </xf>
    <xf numFmtId="164" fontId="8" fillId="2" borderId="2">
      <alignment horizontal="left" vertical="center"/>
    </xf>
    <xf numFmtId="0" fontId="4" fillId="2" borderId="11">
      <alignment horizontal="left" vertical="center"/>
    </xf>
    <xf numFmtId="168" fontId="4" fillId="2" borderId="3">
      <alignment horizontal="left" vertical="center"/>
    </xf>
    <xf numFmtId="169" fontId="7" fillId="2" borderId="10">
      <alignment horizontal="left" vertical="center"/>
    </xf>
    <xf numFmtId="165" fontId="2" fillId="12" borderId="9">
      <alignment horizontal="left" vertical="center"/>
      <protection locked="0"/>
    </xf>
    <xf numFmtId="0" fontId="2" fillId="4" borderId="1">
      <alignment horizontal="right" vertical="center" indent="1"/>
    </xf>
    <xf numFmtId="0" fontId="2" fillId="5" borderId="0">
      <alignment horizontal="right" vertical="center" indent="1"/>
    </xf>
    <xf numFmtId="167" fontId="2" fillId="3" borderId="0">
      <alignment horizontal="right" vertical="center"/>
    </xf>
    <xf numFmtId="170" fontId="4" fillId="6" borderId="2">
      <alignment horizontal="right" vertical="center"/>
      <protection locked="0"/>
    </xf>
    <xf numFmtId="171" fontId="4" fillId="6" borderId="5">
      <alignment horizontal="right" vertical="center"/>
      <protection locked="0"/>
    </xf>
    <xf numFmtId="165" fontId="4" fillId="7" borderId="2">
      <alignment horizontal="left" vertical="center"/>
      <protection locked="0"/>
    </xf>
    <xf numFmtId="170" fontId="1" fillId="0" borderId="8">
      <alignment horizontal="right" vertical="center"/>
    </xf>
    <xf numFmtId="171" fontId="1" fillId="0" borderId="8">
      <alignment horizontal="right" vertical="center"/>
    </xf>
    <xf numFmtId="173" fontId="7" fillId="2" borderId="4">
      <alignment horizontal="right" vertical="center"/>
    </xf>
    <xf numFmtId="164" fontId="6" fillId="2" borderId="7">
      <alignment horizontal="right" vertical="center"/>
    </xf>
    <xf numFmtId="0" fontId="11" fillId="8" borderId="0" applyNumberFormat="0" applyBorder="0" applyAlignment="0" applyProtection="0"/>
    <xf numFmtId="0" fontId="12" fillId="9" borderId="0" applyNumberFormat="0" applyBorder="0" applyAlignment="0" applyProtection="0"/>
    <xf numFmtId="0" fontId="13" fillId="10" borderId="0" applyNumberFormat="0" applyBorder="0" applyAlignment="0" applyProtection="0"/>
  </cellStyleXfs>
  <cellXfs count="58">
    <xf numFmtId="0" fontId="0" fillId="2" borderId="0" xfId="0">
      <alignment horizontal="left" vertical="center"/>
    </xf>
    <xf numFmtId="0" fontId="16" fillId="11" borderId="0" xfId="5" applyAlignment="1">
      <alignment horizontal="right" vertical="center"/>
    </xf>
    <xf numFmtId="0" fontId="2" fillId="5" borderId="0" xfId="18">
      <alignment horizontal="right" vertical="center" indent="1"/>
    </xf>
    <xf numFmtId="168" fontId="4" fillId="2" borderId="3" xfId="14">
      <alignment horizontal="left" vertical="center"/>
    </xf>
    <xf numFmtId="0" fontId="16" fillId="11" borderId="0" xfId="5">
      <alignment horizontal="left" vertical="center"/>
    </xf>
    <xf numFmtId="0" fontId="9" fillId="3" borderId="0" xfId="2">
      <alignment horizontal="left" vertical="center"/>
    </xf>
    <xf numFmtId="164" fontId="1" fillId="0" borderId="8" xfId="8">
      <alignment horizontal="left" vertical="center"/>
    </xf>
    <xf numFmtId="164" fontId="6" fillId="2" borderId="7" xfId="26">
      <alignment horizontal="right" vertical="center"/>
    </xf>
    <xf numFmtId="166" fontId="1" fillId="6" borderId="2" xfId="7">
      <alignment horizontal="left" vertical="center"/>
      <protection locked="0"/>
    </xf>
    <xf numFmtId="165" fontId="4" fillId="7" borderId="2" xfId="22">
      <alignment horizontal="left" vertical="center"/>
      <protection locked="0"/>
    </xf>
    <xf numFmtId="0" fontId="2" fillId="4" borderId="1" xfId="17">
      <alignment horizontal="right" vertical="center" indent="1"/>
    </xf>
    <xf numFmtId="168" fontId="4" fillId="2" borderId="3" xfId="14" applyAlignment="1">
      <alignment horizontal="center" vertical="center"/>
      <extLst>
        <ext xmlns:xfpb="http://schemas.microsoft.com/office/spreadsheetml/2022/featurepropertybag" uri="{C7286773-470A-42A8-94C5-96B5CB345126}">
          <xfpb:xfComplement i="0"/>
        </ext>
      </extLst>
    </xf>
    <xf numFmtId="49" fontId="1" fillId="6" borderId="2" xfId="7" applyNumberFormat="1">
      <alignment horizontal="left" vertical="center"/>
      <protection locked="0"/>
    </xf>
    <xf numFmtId="168" fontId="4" fillId="2" borderId="3" xfId="14" applyAlignment="1">
      <alignment horizontal="center" vertical="center"/>
    </xf>
    <xf numFmtId="172" fontId="14" fillId="2" borderId="3" xfId="11">
      <alignment horizontal="left" vertical="center"/>
    </xf>
    <xf numFmtId="0" fontId="2" fillId="5" borderId="0" xfId="18" applyAlignment="1">
      <alignment horizontal="left" vertical="center" indent="1"/>
    </xf>
    <xf numFmtId="168" fontId="7" fillId="2" borderId="3" xfId="14" applyFont="1">
      <alignment horizontal="left" vertical="center"/>
    </xf>
    <xf numFmtId="168" fontId="4" fillId="2" borderId="3" xfId="14" applyAlignment="1">
      <alignment horizontal="left" vertical="center" indent="1"/>
    </xf>
    <xf numFmtId="9" fontId="1" fillId="0" borderId="8" xfId="1" applyFont="1" applyBorder="1">
      <alignment horizontal="right" vertical="center"/>
    </xf>
    <xf numFmtId="168" fontId="4" fillId="2" borderId="3" xfId="14" applyAlignment="1">
      <alignment horizontal="left" vertical="center" indent="2"/>
    </xf>
    <xf numFmtId="168" fontId="5" fillId="2" borderId="3" xfId="14" applyFont="1">
      <alignment horizontal="left" vertical="center"/>
    </xf>
    <xf numFmtId="167" fontId="19" fillId="3" borderId="0" xfId="19" applyFont="1" applyAlignment="1">
      <alignment horizontal="left" vertical="center"/>
    </xf>
    <xf numFmtId="0" fontId="20" fillId="5" borderId="0" xfId="18" applyFont="1" applyAlignment="1">
      <alignment horizontal="left" vertical="center"/>
    </xf>
    <xf numFmtId="164" fontId="10" fillId="0" borderId="2" xfId="10">
      <alignment horizontal="left" vertical="center"/>
    </xf>
    <xf numFmtId="9" fontId="6" fillId="2" borderId="7" xfId="1" applyFont="1" applyFill="1" applyBorder="1">
      <alignment horizontal="right" vertical="center"/>
    </xf>
    <xf numFmtId="174" fontId="1" fillId="0" borderId="8" xfId="1" applyNumberFormat="1" applyFont="1" applyBorder="1">
      <alignment horizontal="right" vertical="center"/>
    </xf>
    <xf numFmtId="0" fontId="2" fillId="4" borderId="1" xfId="17" applyAlignment="1">
      <alignment horizontal="left" vertical="center" indent="1"/>
    </xf>
    <xf numFmtId="170" fontId="4" fillId="6" borderId="2" xfId="20">
      <alignment horizontal="right" vertical="center"/>
      <protection locked="0"/>
    </xf>
    <xf numFmtId="166" fontId="0" fillId="6" borderId="2" xfId="7" applyFont="1">
      <alignment horizontal="left" vertical="center"/>
      <protection locked="0"/>
    </xf>
    <xf numFmtId="10" fontId="1" fillId="0" borderId="8" xfId="8" applyNumberFormat="1">
      <alignment horizontal="left" vertical="center"/>
    </xf>
    <xf numFmtId="10" fontId="6" fillId="2" borderId="7" xfId="26" applyNumberFormat="1">
      <alignment horizontal="right" vertical="center"/>
    </xf>
    <xf numFmtId="166" fontId="21" fillId="0" borderId="2" xfId="9" applyFont="1">
      <alignment horizontal="left" vertical="center"/>
    </xf>
    <xf numFmtId="0" fontId="2" fillId="5" borderId="0" xfId="18" applyAlignment="1">
      <alignment vertical="center"/>
    </xf>
    <xf numFmtId="0" fontId="0" fillId="2" borderId="13" xfId="0" applyBorder="1">
      <alignment horizontal="left" vertical="center"/>
    </xf>
    <xf numFmtId="166" fontId="3" fillId="0" borderId="2" xfId="9" applyFill="1">
      <alignment horizontal="left" vertical="center"/>
    </xf>
    <xf numFmtId="166" fontId="0" fillId="6" borderId="2" xfId="7" applyFont="1" applyAlignment="1">
      <alignment horizontal="left" vertical="top" wrapText="1"/>
      <protection locked="0"/>
    </xf>
    <xf numFmtId="1" fontId="3" fillId="0" borderId="2" xfId="9" applyNumberFormat="1" applyFill="1">
      <alignment horizontal="left" vertical="center"/>
    </xf>
    <xf numFmtId="175" fontId="3" fillId="0" borderId="2" xfId="9" applyNumberFormat="1" applyFill="1">
      <alignment horizontal="left" vertical="center"/>
    </xf>
    <xf numFmtId="14" fontId="0" fillId="6" borderId="2" xfId="7" applyNumberFormat="1" applyFont="1">
      <alignment horizontal="left" vertical="center"/>
      <protection locked="0"/>
    </xf>
    <xf numFmtId="164" fontId="0" fillId="0" borderId="8" xfId="8" applyFont="1" applyFill="1">
      <alignment horizontal="left" vertical="center"/>
    </xf>
    <xf numFmtId="170" fontId="0" fillId="0" borderId="8" xfId="23" applyFont="1" applyFill="1">
      <alignment horizontal="right" vertical="center"/>
    </xf>
    <xf numFmtId="176" fontId="0" fillId="2" borderId="0" xfId="0" applyNumberFormat="1">
      <alignment horizontal="left" vertical="center"/>
    </xf>
    <xf numFmtId="177" fontId="3" fillId="0" borderId="2" xfId="9" applyNumberFormat="1" applyFill="1">
      <alignment horizontal="left" vertical="center"/>
    </xf>
    <xf numFmtId="174" fontId="3" fillId="0" borderId="2" xfId="9" applyNumberFormat="1" applyFill="1">
      <alignment horizontal="left" vertical="center"/>
    </xf>
    <xf numFmtId="174" fontId="4" fillId="2" borderId="3" xfId="14" applyNumberFormat="1">
      <alignment horizontal="left" vertical="center"/>
    </xf>
    <xf numFmtId="164" fontId="0" fillId="0" borderId="8" xfId="8" applyNumberFormat="1" applyFont="1" applyFill="1">
      <alignment horizontal="left" vertical="center"/>
    </xf>
    <xf numFmtId="164" fontId="6" fillId="2" borderId="7" xfId="26" applyNumberFormat="1">
      <alignment horizontal="right" vertical="center"/>
    </xf>
    <xf numFmtId="174" fontId="0" fillId="2" borderId="0" xfId="0" applyNumberFormat="1">
      <alignment horizontal="left" vertical="center"/>
    </xf>
    <xf numFmtId="178" fontId="1" fillId="0" borderId="8" xfId="8" applyNumberFormat="1">
      <alignment horizontal="left" vertical="center"/>
    </xf>
    <xf numFmtId="179" fontId="0" fillId="2" borderId="0" xfId="0" applyNumberFormat="1">
      <alignment horizontal="left" vertical="center"/>
    </xf>
    <xf numFmtId="49" fontId="22" fillId="0" borderId="14" xfId="10" applyNumberFormat="1" applyFont="1" applyBorder="1" applyAlignment="1">
      <alignment horizontal="left" vertical="top" wrapText="1" indent="1"/>
    </xf>
    <xf numFmtId="49" fontId="22" fillId="0" borderId="13" xfId="10" applyNumberFormat="1" applyFont="1" applyBorder="1" applyAlignment="1">
      <alignment horizontal="left" vertical="top" wrapText="1" indent="1"/>
    </xf>
    <xf numFmtId="49" fontId="22" fillId="0" borderId="15" xfId="10" applyNumberFormat="1" applyFont="1" applyBorder="1" applyAlignment="1">
      <alignment horizontal="left" vertical="top" wrapText="1" indent="1"/>
    </xf>
    <xf numFmtId="170" fontId="4" fillId="6" borderId="2" xfId="20" applyAlignment="1">
      <alignment horizontal="left" vertical="center"/>
      <protection locked="0"/>
    </xf>
    <xf numFmtId="164" fontId="23" fillId="0" borderId="8" xfId="8" applyNumberFormat="1" applyFont="1" applyFill="1">
      <alignment horizontal="left" vertical="center"/>
    </xf>
    <xf numFmtId="0" fontId="4" fillId="2" borderId="11" xfId="13" applyAlignment="1">
      <alignment horizontal="left" vertical="center" wrapText="1"/>
    </xf>
    <xf numFmtId="0" fontId="4" fillId="2" borderId="11" xfId="13" applyAlignment="1">
      <alignment vertical="center" wrapText="1"/>
    </xf>
    <xf numFmtId="0" fontId="4" fillId="2" borderId="3" xfId="14" applyNumberFormat="1" applyAlignment="1">
      <alignment horizontal="left" vertical="center"/>
    </xf>
  </cellXfs>
  <cellStyles count="30">
    <cellStyle name="Bad" xfId="28" builtinId="27" hidden="1"/>
    <cellStyle name="Calculation" xfId="9" builtinId="22" customBuiltin="1"/>
    <cellStyle name="Check Cell" xfId="11" builtinId="23" customBuiltin="1"/>
    <cellStyle name="Explanatory Text" xfId="14" builtinId="53" customBuiltin="1"/>
    <cellStyle name="Good" xfId="27" builtinId="26" hidden="1"/>
    <cellStyle name="Heading 1" xfId="3" builtinId="16" customBuiltin="1"/>
    <cellStyle name="Heading 2" xfId="4" builtinId="17" customBuiltin="1"/>
    <cellStyle name="Heading 3" xfId="5" builtinId="18" customBuiltin="1"/>
    <cellStyle name="Heading 4" xfId="6" builtinId="19" customBuiltin="1"/>
    <cellStyle name="Input" xfId="7" builtinId="20" customBuiltin="1"/>
    <cellStyle name="Input .0%" xfId="20" xr:uid="{10CF7C13-B181-4EEA-AD01-2C5242613E3B}"/>
    <cellStyle name="Input Date" xfId="21" xr:uid="{F0A37EFE-78ED-4491-BC88-82DC942A13EA}"/>
    <cellStyle name="Input Dropdown" xfId="22" xr:uid="{3B4F9E99-CC93-4518-BC9A-11C07CEC172F}"/>
    <cellStyle name="Linked Cell" xfId="10" builtinId="24" customBuiltin="1"/>
    <cellStyle name="Neutral" xfId="29" builtinId="28" hidden="1"/>
    <cellStyle name="Normal" xfId="0" builtinId="0" customBuiltin="1"/>
    <cellStyle name="Note" xfId="13" builtinId="10" customBuiltin="1"/>
    <cellStyle name="Output" xfId="8" builtinId="21" customBuiltin="1"/>
    <cellStyle name="Output .0%" xfId="23" xr:uid="{2E7175A0-B738-42B9-A8D5-C92F7434EAA3}"/>
    <cellStyle name="Output Date" xfId="24" xr:uid="{1B7F02B1-41BA-4070-A787-D63AF2BCDE6F}"/>
    <cellStyle name="Percent" xfId="1" builtinId="5" customBuiltin="1"/>
    <cellStyle name="Row Total" xfId="26" xr:uid="{97205507-E2F9-40EA-B26C-FE083B8FDC04}"/>
    <cellStyle name="Title" xfId="2" builtinId="15" customBuiltin="1"/>
    <cellStyle name="Title Date" xfId="19" xr:uid="{60B598AE-80EB-4771-8062-0A5915DE8E86}"/>
    <cellStyle name="Title Dropdown" xfId="16" xr:uid="{336A0401-75A5-43E2-8A47-6456BF0FC6A4}"/>
    <cellStyle name="Title Group" xfId="17" xr:uid="{50077B36-0712-4B3A-B9EE-17460939CBA9}"/>
    <cellStyle name="Title Label" xfId="18" xr:uid="{600917AD-C0E2-4F9A-8E28-D3248568AB2E}"/>
    <cellStyle name="Total" xfId="15" builtinId="25" customBuiltin="1"/>
    <cellStyle name="Total RowCount" xfId="25" xr:uid="{C64BA3FF-3B90-4E95-8285-B34995BFB0B6}"/>
    <cellStyle name="Warning Text" xfId="12" builtinId="11" customBuiltin="1"/>
  </cellStyles>
  <dxfs count="3">
    <dxf>
      <font>
        <b val="0"/>
        <i val="0"/>
        <color theme="1"/>
      </font>
      <border>
        <top style="thick">
          <color theme="3"/>
        </top>
      </border>
    </dxf>
    <dxf>
      <font>
        <b/>
        <i val="0"/>
        <color theme="0"/>
      </font>
      <fill>
        <patternFill patternType="solid">
          <fgColor auto="1"/>
          <bgColor theme="3"/>
        </patternFill>
      </fill>
    </dxf>
    <dxf>
      <font>
        <color theme="1"/>
      </font>
      <fill>
        <patternFill>
          <bgColor theme="0"/>
        </patternFill>
      </fill>
      <border>
        <left style="thin">
          <color theme="0" tint="-4.9989318521683403E-2"/>
        </left>
        <right style="thin">
          <color theme="0" tint="-4.9989318521683403E-2"/>
        </right>
        <top style="thin">
          <color theme="0" tint="-4.9989318521683403E-2"/>
        </top>
        <bottom style="thin">
          <color theme="0" tint="-4.9989318521683403E-2"/>
        </bottom>
        <vertical style="thin">
          <color theme="0" tint="-4.9989318521683403E-2"/>
        </vertical>
        <horizontal style="thin">
          <color theme="0" tint="-4.9989318521683403E-2"/>
        </horizontal>
      </border>
    </dxf>
  </dxfs>
  <tableStyles count="1" defaultTableStyle="TableStyleMedium2" defaultPivotStyle="PivotStyleLight16">
    <tableStyle name="Vena" pivot="0" count="3" xr9:uid="{638EFC15-EBBB-4FD5-8EE5-64F3D7C784D5}">
      <tableStyleElement type="wholeTable" dxfId="2"/>
      <tableStyleElement type="headerRow" dxfId="1"/>
      <tableStyleElement type="totalRow" dxfId="0"/>
    </tableStyle>
  </tableStyles>
  <colors>
    <mruColors>
      <color rgb="FFFFFFFF"/>
      <color rgb="FFEEEEEE"/>
      <color rgb="FFF6F6F6"/>
      <color rgb="FFEAEAEA"/>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8" Type="http://schemas.openxmlformats.org/officeDocument/2006/relationships/customXml" Target="../customXml/item2.xml"/><Relationship Id="rId26" Type="http://schemas.openxmlformats.org/officeDocument/2006/relationships/customXml" Target="../customXml/item10.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1.xml"/><Relationship Id="rId25" Type="http://schemas.openxmlformats.org/officeDocument/2006/relationships/customXml" Target="../customXml/item9.xml"/><Relationship Id="rId33" Type="http://schemas.microsoft.com/office/2023/09/relationships/Python" Target="python.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5" Type="http://schemas.openxmlformats.org/officeDocument/2006/relationships/worksheet" Target="worksheets/sheet5.xml"/><Relationship Id="rId15" Type="http://schemas.microsoft.com/office/2022/11/relationships/FeaturePropertyBag" Target="featurePropertyBag/featurePropertyBag.xml"/><Relationship Id="rId23" Type="http://schemas.openxmlformats.org/officeDocument/2006/relationships/customXml" Target="../customXml/item7.xml"/><Relationship Id="rId28" Type="http://schemas.openxmlformats.org/officeDocument/2006/relationships/customXml" Target="../customXml/item12.xml"/><Relationship Id="rId10" Type="http://schemas.openxmlformats.org/officeDocument/2006/relationships/worksheet" Target="worksheets/sheet10.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8" Type="http://schemas.openxmlformats.org/officeDocument/2006/relationships/worksheet" Target="worksheets/sheet8.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Vena Theme">
  <a:themeElements>
    <a:clrScheme name="Vena Color System">
      <a:dk1>
        <a:srgbClr val="2D2A26"/>
      </a:dk1>
      <a:lt1>
        <a:srgbClr val="FFFFFF"/>
      </a:lt1>
      <a:dk2>
        <a:srgbClr val="418154"/>
      </a:dk2>
      <a:lt2>
        <a:srgbClr val="005FA3"/>
      </a:lt2>
      <a:accent1>
        <a:srgbClr val="3D7A6E"/>
      </a:accent1>
      <a:accent2>
        <a:srgbClr val="E8A847"/>
      </a:accent2>
      <a:accent3>
        <a:srgbClr val="6BAF7E"/>
      </a:accent3>
      <a:accent4>
        <a:srgbClr val="2C6E8A"/>
      </a:accent4>
      <a:accent5>
        <a:srgbClr val="9B5EA2"/>
      </a:accent5>
      <a:accent6>
        <a:srgbClr val="C0714A"/>
      </a:accent6>
      <a:hlink>
        <a:srgbClr val="005FA3"/>
      </a:hlink>
      <a:folHlink>
        <a:srgbClr val="26806C"/>
      </a:folHlink>
    </a:clrScheme>
    <a:fontScheme name="Vena Font Scheme">
      <a:majorFont>
        <a:latin typeface="Franklin Gothic Medium Cond"/>
        <a:ea typeface=""/>
        <a:cs typeface=""/>
      </a:majorFont>
      <a:minorFont>
        <a:latin typeface="Arial Nova"/>
        <a:ea typeface=""/>
        <a:cs typeface=""/>
      </a:minorFont>
    </a:fontScheme>
    <a:fmtScheme name="Ve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5">
    <wetp:webextensionref xmlns:r="http://schemas.openxmlformats.org/officeDocument/2006/relationships" r:id="rId1"/>
  </wetp:taskpane>
  <wetp:taskpane dockstate="right" visibility="0" width="528" row="6">
    <wetp:webextensionref xmlns:r="http://schemas.openxmlformats.org/officeDocument/2006/relationships" r:id="rId2"/>
  </wetp:taskpane>
</wetp:taskpanes>
</file>

<file path=xl/webextensions/webextension1.xml><?xml version="1.0" encoding="utf-8"?>
<we:webextension xmlns:we="http://schemas.microsoft.com/office/webextensions/webextension/2010/11" id="{a972a6a3-b869-4a2c-b297-a407d4095e52}">
  <we:reference id="WA200002235" version="2.0.0.0" store="en-US" storeType="OMEX"/>
  <we:alternateReferences/>
  <we:properties>
    <we:property name="ADDIN_TYPE" value="&quot;MANAGER&quot;"/>
    <we:property name="TENANT_TYPE" value="&quot;PRESALES&quot;"/>
    <we:property name="baseURL" value="&quot;https://us6.vena.io&quot;"/>
    <we:property name="contentId" value="&quot;1714485796969119745&quot;"/>
    <we:property name="customerId" value="&quot;1677463594389864448&quot;"/>
    <we:property name="featureMap" value="{}"/>
    <we:property name="fileId" value="&quot;1714485796964925440&quot;"/>
    <we:property name="processId" value="&quot;1681481088088014848&quot;"/>
    <we:property name="readOnly" value="false"/>
    <we:property name="taskId" value="&quot;0&quot;"/>
    <we:property name="FSM_EXTRAS" value="&quot;{\&quot;api\&quot;:{\&quot;apiUser\&quot;:\&quot;1680342448192487441.1677463594389864448\&quot;,\&quot;apiKey\&quot;:\&quot;ce96657dafc24d90a7eb8a3cd4c3375b\&quot;,\&quot;userId\&quot;:\&quot;1680342448192487441\&quot;,\&quot;loginTypes\&quot;:[\&quot;ADMIN\&quot;,\&quot;MANAGER\&quot;,\&quot;CONTRIBUTOR\&quot;,\&quot;MODELER\&quot;,\&quot;DASHBOARDER\&quot;,\&quot;REPORTER\&quot;,\&quot;COPILOT\&quot;],\&quot;sessionId\&quot;:\&quot;1714485960425340931\&quot;,\&quot;sessionKey\&quot;:\&quot;2D4Fs78HuY04BhO8rF0Nit7vP5TRynJ8hBY0YjCuheCjUhsvaXFX2iNd8K\/\/BysC\&quot;,\&quot;analyticsEndpoint\&quot;:\&quot;https:\/\/analytics.vena.io:443\&quot;,\&quot;location\&quot;:\&quot;https:\/\/us6.vena.io\&quot;,\&quot;twoAuthEnabled\&quot;:false,\&quot;expired\&quot;:false,\&quot;token\&quot;:null,\&quot;authError\&quot;:null,\&quot;subdomain\&quot;:null,\&quot;uiProperties\&quot;:[{\&quot;propertyName\&quot;:\&quot;newModelerFlowEnabled\&quot;,\&quot;value\&quot;:\&quot;true\&quot;},{\&quot;propertyName\&quot;:\&quot;vena365ConnectToggleEnabled\&quot;,\&quot;value\&quot;:\&quot;true\&quot;},{\&quot;propertyName\&quot;:\&quot;processLevelVena365ConnectEnabled\&quot;,\&quot;value\&quot;:\&quot;true\&quot;},{\&quot;propertyName\&quot;:\&quot;adminPasswordControlEnabled\&quot;,\&quot;value\&quot;:\&quot;true\&quot;}],\&quot;userProperties\&quot;:null,\&quot;googleAnalyticsEnabled\&quot;:false,\&quot;venaSupportUser\&quot;:null,\&quot;salesforceId\&quot;:null,\&quot;tenantType\&quot;:\&quot;PRESALES\&quot;,\&quot;hubspotContactId\&quot;:null,\&quot;trialVersion\&quot;:null,\&quot;canChangePassword\&quot;:false,\&quot;organizationType\&quot;:\&quot;INTERNAL\&quot;},\&quot;status\&quot;:\&quot;STATUS_OK\&quot;,\&quot;subdomain\&quot;:null,\&quot;serverVersion\&quot;:\&quot;0.383\&quot;,\&quot;fileId\&quot;:\&quot;1714485796964925440\&quot;,\&quot;contentId\&quot;:\&quot;1714485796969119745\&quot;,\&quot;task\&quot;:null,\&quot;associatedTask\&quot;:null,\&quot;taskForm\&quot;:null,\&quot;taskUserAssociation\&quot;:null,\&quot;associatedUser\&quot;:{\&quot;id\&quot;:\&quot;1680342448192487441\&quot;,\&quot;version\&quot;:33,\&quot;createdTimestamp\&quot;:null,\&quot;createdBy\&quot;:null,\&quot;updatedTimestamp\&quot;:1790018151000,\&quot;updatedBy\&quot;:\&quot;1680342448192487441\&quot;,\&quot;updateReason\&quot;:\&quot;Logged in using username and password\&quot;,\&quot;active\&quot;:1,\&quot;activated\&quot;:true,\&quot;email\&quot;:\&quot;akleinert@sparkcycleqa.com\&quot;,\&quot;firstName\&quot;:\&quot;Adam\&quot;,\&quot;lastName\&quot;:\&quot;Kleinert\&quot;,\&quot;impersonationExpiry\&quot;:null,\&quot;firstLogin\&quot;:1782222290000,\&quot;lastLogin\&quot;:1790018151000,\&quot;lastImpersonationLogin\&quot;:null,\&quot;licenseType\&quot;:\&quot;POWER_USER\&quot;,\&quot;type\&quot;:\&quot;User\&quot;,\&quot;fullName\&quot;:\&quot;Adam Kleinert\&quot;,\&quot;additionalInfo\&quot;:{\&quot;firstName\&quot;:\&quot;Adam\&quot;,\&quot;lastName\&quot;:\&quot;Kleinert\&quot;,\&quot;email\&quot;:\&quot;akleinert@sparkcycleqa.com\&quot;},\&quot;createdEpochSeconds\&quot;:\&quot;0\&quot;,\&quot;updatedEpochSeconds\&quot;:\&quot;1790018151\&quot;},\&quot;file\&quot;:{\&quot;type\&quot;:\&quot;data\&quot;,\&quot;id\&quot;:\&quot;1714485796964925440\&quot;,\&quot;version\&quot;:2,\&quot;name\&quot;:\&quot;Scenario Planning - strat.xlsx\&quot;,\&quot;hidden\&quot;:false,\&quot;lastDeletedDate\&quot;:null,\&quot;lastDeletedById\&quot;:null,\&quot;systemFile\&quot;:false,\&quot;parentProcessId\&quot;:\&quot;1681481088088014848\&quot;,\&quot;content\&quot;:null,\&quot;mimeType\&quot;:null,\&quot;description\&quot;:null,\&quot;notes\&quot;:null,\&quot;formType\&quot;:null,\&quot;risk\&quot;:null,\&quot;attributes\&quot;:null,\&quot;validation\&quot;:null,\&quot;templateMode\&quot;:\&quot;GLOBAL_MANAGER\&quot;,\&quot;templateProperties\&quot;:null,\&quot;contentSize\&quot;:10002,\&quot;contentId\&quot;:\&quot;1714485796969119745\&quot;,\&quot;fileExt\&quot;:\&quot;xlsx\&quot;,\&quot;rootProcessId\&quot;:\&quot;1681481088088014848\&quot;,\&quot;rootProcessName\&quot;:\&quot;2027 Annual Plan (Distributed)\&quot;,\&quot;createdTimestamp\&quot;:1790018221690,\&quot;formattedName\&quot;:\&quot;Scenario Planning - strat.xlsx\&quot;,\&quot;parentId\&quot;:\&quot;1681481088285147137\&quot;},\&quot;loginType\&quot;:\&quot;MANAGER\&quot;,\&quot;metaData\&quot;:null,\&quot;customData\&quot;:null,\&quot;pageOptionCheckout\&quot;:null,\&quot;editable\&quot;:true,\&quot;disableAudit\&quot;:false}&quot;"/>
  </we:properties>
  <we:bindings/>
  <we:snapshot xmlns:r="http://schemas.openxmlformats.org/officeDocument/2006/relationships"/>
</we:webextension>
</file>

<file path=xl/webextensions/webextension2.xml><?xml version="1.0" encoding="utf-8"?>
<we:webextension xmlns:we="http://schemas.microsoft.com/office/webextensions/webextension/2010/11" id="{3E74E718-1A00-4D26-9F3E-336CC86E5794}">
  <we:reference id="WA200009404" version="1.0.0.8" store="Omex" storeType="OMEX"/>
  <we:alternateReferences>
    <we:reference id="WA200009404" version="1.0.0.8" store="WA200009404" storeType="OMEX"/>
  </we:alternateReferences>
  <we:properties>
    <we:property name="claude.fileId" value="&quot;1958475f-805f-45d3-8297-1140d26286b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2BF54-EBB7-4523-BB5C-F0FBED3A2996}">
  <sheetPr>
    <tabColor theme="0" tint="-0.14999847407452621"/>
  </sheetPr>
  <dimension ref="A1:AV28"/>
  <sheetViews>
    <sheetView showRowColHeaders="0" tabSelected="1" zoomScaleNormal="100" workbookViewId="0"/>
  </sheetViews>
  <sheetFormatPr defaultColWidth="12.7109375" defaultRowHeight="15.95" customHeight="1" outlineLevelCol="1" x14ac:dyDescent="0.2"/>
  <cols>
    <col min="1" max="1" width="2.7109375" customWidth="1" collapsed="1"/>
    <col min="2" max="2" width="39.85546875" customWidth="1" collapsed="1"/>
    <col min="3" max="3" width="13.42578125" hidden="1" customWidth="1" outlineLevel="1"/>
    <col min="4" max="4" width="14" hidden="1" customWidth="1" outlineLevel="1"/>
    <col min="5" max="5" width="13.42578125" hidden="1" customWidth="1" outlineLevel="1"/>
    <col min="6" max="6" width="22.7109375" hidden="1" customWidth="1" outlineLevel="1"/>
    <col min="7" max="7" width="14.28515625" hidden="1" customWidth="1" outlineLevel="1"/>
    <col min="8" max="8" width="8.140625" customWidth="1" collapsed="1"/>
    <col min="9" max="44" width="11.7109375" hidden="1" customWidth="1" outlineLevel="1" collapsed="1"/>
    <col min="45" max="45" width="12.7109375" collapsed="1"/>
    <col min="48" max="48" width="2.7109375" customWidth="1" collapsed="1"/>
  </cols>
  <sheetData>
    <row r="1" spans="1:48" ht="24.95" customHeight="1" x14ac:dyDescent="0.2">
      <c r="A1" s="5"/>
      <c r="B1" s="5" t="s">
        <v>49</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row>
    <row r="2" spans="1:48" ht="24.95" customHeight="1" x14ac:dyDescent="0.2">
      <c r="A2" s="2"/>
      <c r="B2" s="22" t="s">
        <v>23</v>
      </c>
      <c r="C2" s="2"/>
      <c r="D2" s="2"/>
      <c r="E2" s="2"/>
      <c r="F2" s="2"/>
      <c r="G2" s="2"/>
      <c r="H2" s="2"/>
      <c r="I2" s="2" t="s">
        <v>1</v>
      </c>
      <c r="J2" s="2" t="s">
        <v>1</v>
      </c>
      <c r="K2" s="2" t="s">
        <v>1</v>
      </c>
      <c r="L2" s="2" t="s">
        <v>1</v>
      </c>
      <c r="M2" s="2" t="s">
        <v>1</v>
      </c>
      <c r="N2" s="2" t="s">
        <v>1</v>
      </c>
      <c r="O2" s="2" t="s">
        <v>1</v>
      </c>
      <c r="P2" s="2" t="s">
        <v>1</v>
      </c>
      <c r="Q2" s="2" t="s">
        <v>1</v>
      </c>
      <c r="R2" s="2" t="s">
        <v>1</v>
      </c>
      <c r="S2" s="2" t="s">
        <v>1</v>
      </c>
      <c r="T2" s="2" t="s">
        <v>1</v>
      </c>
      <c r="U2" s="2" t="s">
        <v>1</v>
      </c>
      <c r="V2" s="2" t="s">
        <v>1</v>
      </c>
      <c r="W2" s="2" t="s">
        <v>1</v>
      </c>
      <c r="X2" s="2" t="s">
        <v>1</v>
      </c>
      <c r="Y2" s="2" t="s">
        <v>1</v>
      </c>
      <c r="Z2" s="2" t="s">
        <v>1</v>
      </c>
      <c r="AA2" s="2" t="s">
        <v>1</v>
      </c>
      <c r="AB2" s="2" t="s">
        <v>1</v>
      </c>
      <c r="AC2" s="2" t="s">
        <v>1</v>
      </c>
      <c r="AD2" s="2" t="s">
        <v>1</v>
      </c>
      <c r="AE2" s="2" t="s">
        <v>1</v>
      </c>
      <c r="AF2" s="2" t="s">
        <v>1</v>
      </c>
      <c r="AG2" s="2" t="s">
        <v>1</v>
      </c>
      <c r="AH2" s="2" t="s">
        <v>1</v>
      </c>
      <c r="AI2" s="2" t="s">
        <v>1</v>
      </c>
      <c r="AJ2" s="2" t="s">
        <v>1</v>
      </c>
      <c r="AK2" s="2" t="s">
        <v>1</v>
      </c>
      <c r="AL2" s="2" t="s">
        <v>1</v>
      </c>
      <c r="AM2" s="2" t="s">
        <v>1</v>
      </c>
      <c r="AN2" s="2" t="s">
        <v>1</v>
      </c>
      <c r="AO2" s="2" t="s">
        <v>1</v>
      </c>
      <c r="AP2" s="2" t="s">
        <v>1</v>
      </c>
      <c r="AQ2" s="2" t="s">
        <v>1</v>
      </c>
      <c r="AR2" s="2" t="s">
        <v>1</v>
      </c>
      <c r="AS2" s="10" t="s">
        <v>1</v>
      </c>
      <c r="AT2" s="10" t="s">
        <v>1</v>
      </c>
      <c r="AU2" s="10" t="s">
        <v>1</v>
      </c>
      <c r="AV2" s="2"/>
    </row>
    <row r="3" spans="1:48" ht="20.100000000000001" customHeight="1" x14ac:dyDescent="0.2">
      <c r="A3" s="2"/>
      <c r="B3" s="32" t="s">
        <v>50</v>
      </c>
      <c r="C3" s="2"/>
      <c r="D3" s="2"/>
      <c r="E3" s="2"/>
      <c r="F3" s="2"/>
      <c r="G3" s="2"/>
      <c r="H3" s="2"/>
      <c r="I3" s="2">
        <v>2024</v>
      </c>
      <c r="J3" s="2">
        <v>2024</v>
      </c>
      <c r="K3" s="2">
        <v>2024</v>
      </c>
      <c r="L3" s="2">
        <v>2024</v>
      </c>
      <c r="M3" s="2">
        <v>2024</v>
      </c>
      <c r="N3" s="2">
        <v>2024</v>
      </c>
      <c r="O3" s="2">
        <v>2024</v>
      </c>
      <c r="P3" s="2">
        <v>2024</v>
      </c>
      <c r="Q3" s="2">
        <v>2024</v>
      </c>
      <c r="R3" s="2">
        <v>2024</v>
      </c>
      <c r="S3" s="2">
        <v>2024</v>
      </c>
      <c r="T3" s="2">
        <v>2024</v>
      </c>
      <c r="U3" s="2">
        <f>$I$3+1</f>
        <v>2025</v>
      </c>
      <c r="V3" s="2">
        <f t="shared" ref="V3:AF3" si="0">$I$3+1</f>
        <v>2025</v>
      </c>
      <c r="W3" s="2">
        <f t="shared" si="0"/>
        <v>2025</v>
      </c>
      <c r="X3" s="2">
        <f t="shared" si="0"/>
        <v>2025</v>
      </c>
      <c r="Y3" s="2">
        <f t="shared" si="0"/>
        <v>2025</v>
      </c>
      <c r="Z3" s="2">
        <f t="shared" si="0"/>
        <v>2025</v>
      </c>
      <c r="AA3" s="2">
        <f t="shared" si="0"/>
        <v>2025</v>
      </c>
      <c r="AB3" s="2">
        <f t="shared" si="0"/>
        <v>2025</v>
      </c>
      <c r="AC3" s="2">
        <f t="shared" si="0"/>
        <v>2025</v>
      </c>
      <c r="AD3" s="2">
        <f t="shared" si="0"/>
        <v>2025</v>
      </c>
      <c r="AE3" s="2">
        <f t="shared" si="0"/>
        <v>2025</v>
      </c>
      <c r="AF3" s="2">
        <f t="shared" si="0"/>
        <v>2025</v>
      </c>
      <c r="AG3" s="2">
        <f>$V$3+1</f>
        <v>2026</v>
      </c>
      <c r="AH3" s="2">
        <f t="shared" ref="AH3:AR3" si="1">$V$3+1</f>
        <v>2026</v>
      </c>
      <c r="AI3" s="2">
        <f t="shared" si="1"/>
        <v>2026</v>
      </c>
      <c r="AJ3" s="2">
        <f t="shared" si="1"/>
        <v>2026</v>
      </c>
      <c r="AK3" s="2">
        <f t="shared" si="1"/>
        <v>2026</v>
      </c>
      <c r="AL3" s="2">
        <f t="shared" si="1"/>
        <v>2026</v>
      </c>
      <c r="AM3" s="2">
        <f t="shared" si="1"/>
        <v>2026</v>
      </c>
      <c r="AN3" s="2">
        <f t="shared" si="1"/>
        <v>2026</v>
      </c>
      <c r="AO3" s="2">
        <f t="shared" si="1"/>
        <v>2026</v>
      </c>
      <c r="AP3" s="2">
        <f t="shared" si="1"/>
        <v>2026</v>
      </c>
      <c r="AQ3" s="2">
        <f t="shared" si="1"/>
        <v>2026</v>
      </c>
      <c r="AR3" s="2">
        <f t="shared" si="1"/>
        <v>2026</v>
      </c>
      <c r="AS3" s="10">
        <f>$U$3</f>
        <v>2025</v>
      </c>
      <c r="AT3" s="10">
        <f>$AF$3</f>
        <v>2025</v>
      </c>
      <c r="AU3" s="10">
        <f>$AR$3</f>
        <v>2026</v>
      </c>
      <c r="AV3" s="2"/>
    </row>
    <row r="4" spans="1:48" ht="20.100000000000001" customHeight="1" x14ac:dyDescent="0.2">
      <c r="A4" s="2"/>
      <c r="B4" s="2"/>
      <c r="C4" s="2"/>
      <c r="D4" s="2"/>
      <c r="E4" s="2"/>
      <c r="F4" s="2"/>
      <c r="G4" s="2"/>
      <c r="H4" s="2"/>
      <c r="I4" s="2" t="s">
        <v>3</v>
      </c>
      <c r="J4" s="2" t="s">
        <v>4</v>
      </c>
      <c r="K4" s="2" t="s">
        <v>5</v>
      </c>
      <c r="L4" s="2" t="s">
        <v>6</v>
      </c>
      <c r="M4" s="2" t="s">
        <v>7</v>
      </c>
      <c r="N4" s="2" t="s">
        <v>8</v>
      </c>
      <c r="O4" s="2" t="s">
        <v>9</v>
      </c>
      <c r="P4" s="2" t="s">
        <v>10</v>
      </c>
      <c r="Q4" s="2" t="s">
        <v>11</v>
      </c>
      <c r="R4" s="2" t="s">
        <v>12</v>
      </c>
      <c r="S4" s="2" t="s">
        <v>13</v>
      </c>
      <c r="T4" s="2" t="s">
        <v>14</v>
      </c>
      <c r="U4" s="2" t="s">
        <v>3</v>
      </c>
      <c r="V4" s="2" t="s">
        <v>4</v>
      </c>
      <c r="W4" s="2" t="s">
        <v>5</v>
      </c>
      <c r="X4" s="2" t="s">
        <v>6</v>
      </c>
      <c r="Y4" s="2" t="s">
        <v>7</v>
      </c>
      <c r="Z4" s="2" t="s">
        <v>8</v>
      </c>
      <c r="AA4" s="2" t="s">
        <v>9</v>
      </c>
      <c r="AB4" s="2" t="s">
        <v>10</v>
      </c>
      <c r="AC4" s="2" t="s">
        <v>11</v>
      </c>
      <c r="AD4" s="2" t="s">
        <v>12</v>
      </c>
      <c r="AE4" s="2" t="s">
        <v>13</v>
      </c>
      <c r="AF4" s="2" t="s">
        <v>14</v>
      </c>
      <c r="AG4" s="2" t="s">
        <v>3</v>
      </c>
      <c r="AH4" s="2" t="s">
        <v>4</v>
      </c>
      <c r="AI4" s="2" t="s">
        <v>5</v>
      </c>
      <c r="AJ4" s="2" t="s">
        <v>6</v>
      </c>
      <c r="AK4" s="2" t="s">
        <v>7</v>
      </c>
      <c r="AL4" s="2" t="s">
        <v>8</v>
      </c>
      <c r="AM4" s="2" t="s">
        <v>9</v>
      </c>
      <c r="AN4" s="2" t="s">
        <v>10</v>
      </c>
      <c r="AO4" s="2" t="s">
        <v>11</v>
      </c>
      <c r="AP4" s="2" t="s">
        <v>12</v>
      </c>
      <c r="AQ4" s="2" t="s">
        <v>13</v>
      </c>
      <c r="AR4" s="2" t="s">
        <v>14</v>
      </c>
      <c r="AS4" s="10" t="s">
        <v>0</v>
      </c>
      <c r="AT4" s="10" t="s">
        <v>0</v>
      </c>
      <c r="AU4" s="10" t="s">
        <v>0</v>
      </c>
      <c r="AV4" s="2"/>
    </row>
    <row r="6" spans="1:48" ht="20.100000000000001" customHeight="1" x14ac:dyDescent="0.2">
      <c r="B6" s="4" t="s">
        <v>2</v>
      </c>
      <c r="C6" s="4" t="s">
        <v>28</v>
      </c>
      <c r="D6" s="4" t="s">
        <v>29</v>
      </c>
      <c r="E6" s="4" t="s">
        <v>30</v>
      </c>
      <c r="F6" s="4" t="s">
        <v>31</v>
      </c>
      <c r="G6" s="4" t="s">
        <v>25</v>
      </c>
      <c r="H6" s="4"/>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row>
    <row r="7" spans="1:48" ht="20.100000000000001" customHeight="1" x14ac:dyDescent="0.2">
      <c r="B7" s="3" t="s">
        <v>15</v>
      </c>
      <c r="C7" s="3"/>
      <c r="D7" s="27">
        <v>-0.08</v>
      </c>
      <c r="E7" s="27">
        <v>0.08</v>
      </c>
      <c r="F7" s="3" t="str">
        <f t="shared" ref="F7:F13" si="2">IF(COUNT(I7:AR7)=0,"",TEXT(MIN(I7:AR7)/AVERAGE(AG7:AR7)-1,"0%")&amp;" to "&amp;TEXT(MAX(I7:AR7)/AVERAGE(AG7:AR7)-1,"+0%"))</f>
        <v>-28% to +12%</v>
      </c>
      <c r="G7" s="9" t="s">
        <v>26</v>
      </c>
      <c r="H7" s="11" t="b">
        <v>1</v>
      </c>
      <c r="I7" s="6">
        <v>1299</v>
      </c>
      <c r="J7" s="6">
        <v>1380</v>
      </c>
      <c r="K7" s="6">
        <v>1632</v>
      </c>
      <c r="L7" s="6">
        <v>1732</v>
      </c>
      <c r="M7" s="6">
        <v>1750</v>
      </c>
      <c r="N7" s="6">
        <v>1738</v>
      </c>
      <c r="O7" s="6">
        <v>1572</v>
      </c>
      <c r="P7" s="6">
        <v>1556</v>
      </c>
      <c r="Q7" s="6">
        <v>1772</v>
      </c>
      <c r="R7" s="6">
        <v>1761</v>
      </c>
      <c r="S7" s="6">
        <v>1685</v>
      </c>
      <c r="T7" s="6">
        <v>1372</v>
      </c>
      <c r="U7" s="6">
        <v>1399</v>
      </c>
      <c r="V7" s="6">
        <v>1460</v>
      </c>
      <c r="W7" s="6">
        <v>1704</v>
      </c>
      <c r="X7" s="6">
        <v>1833</v>
      </c>
      <c r="Y7" s="6">
        <v>1875</v>
      </c>
      <c r="Z7" s="6">
        <v>1805</v>
      </c>
      <c r="AA7" s="6">
        <v>1641</v>
      </c>
      <c r="AB7" s="6">
        <v>1640</v>
      </c>
      <c r="AC7" s="6">
        <v>1847</v>
      </c>
      <c r="AD7" s="6">
        <v>1873</v>
      </c>
      <c r="AE7" s="6">
        <v>1718</v>
      </c>
      <c r="AF7" s="6">
        <v>1413</v>
      </c>
      <c r="AG7" s="6">
        <v>1470</v>
      </c>
      <c r="AH7" s="6">
        <v>1611</v>
      </c>
      <c r="AI7" s="6">
        <v>1845</v>
      </c>
      <c r="AJ7" s="6">
        <v>1915</v>
      </c>
      <c r="AK7" s="6">
        <v>1985</v>
      </c>
      <c r="AL7" s="6">
        <v>1970</v>
      </c>
      <c r="AM7" s="6">
        <v>1709</v>
      </c>
      <c r="AN7" s="6">
        <v>1760</v>
      </c>
      <c r="AO7" s="6">
        <v>1938</v>
      </c>
      <c r="AP7" s="6">
        <v>2030</v>
      </c>
      <c r="AQ7" s="6">
        <v>1882</v>
      </c>
      <c r="AR7" s="6">
        <v>1552</v>
      </c>
      <c r="AS7" s="7">
        <f>SUM(I7:T7)</f>
        <v>19249</v>
      </c>
      <c r="AT7" s="7">
        <f>SUM(U7:AF7)</f>
        <v>20208</v>
      </c>
      <c r="AU7" s="7">
        <f>SUM(AG7:AR7)</f>
        <v>21667</v>
      </c>
    </row>
    <row r="8" spans="1:48" ht="20.100000000000001" customHeight="1" x14ac:dyDescent="0.2">
      <c r="B8" s="3" t="s">
        <v>16</v>
      </c>
      <c r="C8" s="3"/>
      <c r="D8" s="27">
        <v>-0.05</v>
      </c>
      <c r="E8" s="27">
        <v>0.05</v>
      </c>
      <c r="F8" s="3" t="str">
        <f t="shared" si="2"/>
        <v>-5% to +1%</v>
      </c>
      <c r="G8" s="9" t="s">
        <v>27</v>
      </c>
      <c r="H8" s="11" t="b">
        <v>1</v>
      </c>
      <c r="I8" s="6">
        <v>1177</v>
      </c>
      <c r="J8" s="6">
        <v>1180</v>
      </c>
      <c r="K8" s="6">
        <v>1183</v>
      </c>
      <c r="L8" s="6">
        <v>1179</v>
      </c>
      <c r="M8" s="6">
        <v>1176</v>
      </c>
      <c r="N8" s="6">
        <v>1179</v>
      </c>
      <c r="O8" s="6">
        <v>1179</v>
      </c>
      <c r="P8" s="6">
        <v>1182</v>
      </c>
      <c r="Q8" s="6">
        <v>1178</v>
      </c>
      <c r="R8" s="6">
        <v>1180</v>
      </c>
      <c r="S8" s="6">
        <v>1178</v>
      </c>
      <c r="T8" s="6">
        <v>1184</v>
      </c>
      <c r="U8" s="6">
        <v>1185</v>
      </c>
      <c r="V8" s="6">
        <v>1180</v>
      </c>
      <c r="W8" s="6">
        <v>1208</v>
      </c>
      <c r="X8" s="6">
        <v>1214</v>
      </c>
      <c r="Y8" s="6">
        <v>1214</v>
      </c>
      <c r="Z8" s="6">
        <v>1210</v>
      </c>
      <c r="AA8" s="6">
        <v>1211</v>
      </c>
      <c r="AB8" s="6">
        <v>1206</v>
      </c>
      <c r="AC8" s="6">
        <v>1209</v>
      </c>
      <c r="AD8" s="6">
        <v>1207</v>
      </c>
      <c r="AE8" s="6">
        <v>1209</v>
      </c>
      <c r="AF8" s="6">
        <v>1209</v>
      </c>
      <c r="AG8" s="6">
        <v>1210</v>
      </c>
      <c r="AH8" s="6">
        <v>1207</v>
      </c>
      <c r="AI8" s="6">
        <v>1235</v>
      </c>
      <c r="AJ8" s="6">
        <v>1239</v>
      </c>
      <c r="AK8" s="6">
        <v>1237</v>
      </c>
      <c r="AL8" s="6">
        <v>1242</v>
      </c>
      <c r="AM8" s="6">
        <v>1238</v>
      </c>
      <c r="AN8" s="6">
        <v>1245</v>
      </c>
      <c r="AO8" s="6">
        <v>1237</v>
      </c>
      <c r="AP8" s="6">
        <v>1243</v>
      </c>
      <c r="AQ8" s="6">
        <v>1240</v>
      </c>
      <c r="AR8" s="6">
        <v>1239</v>
      </c>
      <c r="AS8" s="7">
        <f>AVERAGE(I8:T8)</f>
        <v>1179.5833333333333</v>
      </c>
      <c r="AT8" s="7">
        <f>AVERAGE(U8:AF8)</f>
        <v>1205.1666666666667</v>
      </c>
      <c r="AU8" s="7">
        <f>AVERAGE(AG8:AR8)</f>
        <v>1234.3333333333333</v>
      </c>
    </row>
    <row r="9" spans="1:48" ht="20.100000000000001" customHeight="1" x14ac:dyDescent="0.2">
      <c r="B9" s="3" t="s">
        <v>17</v>
      </c>
      <c r="C9" s="3"/>
      <c r="D9" s="27">
        <v>-0.06</v>
      </c>
      <c r="E9" s="27">
        <v>0.04</v>
      </c>
      <c r="F9" s="3" t="str">
        <f t="shared" si="2"/>
        <v>-7% to +1%</v>
      </c>
      <c r="G9" s="9" t="s">
        <v>27</v>
      </c>
      <c r="H9" s="11" t="b">
        <v>1</v>
      </c>
      <c r="I9" s="6">
        <v>702</v>
      </c>
      <c r="J9" s="6">
        <v>697</v>
      </c>
      <c r="K9" s="6">
        <v>699</v>
      </c>
      <c r="L9" s="6">
        <v>711</v>
      </c>
      <c r="M9" s="6">
        <v>705</v>
      </c>
      <c r="N9" s="6">
        <v>709</v>
      </c>
      <c r="O9" s="6">
        <v>708</v>
      </c>
      <c r="P9" s="6">
        <v>709</v>
      </c>
      <c r="Q9" s="6">
        <v>719</v>
      </c>
      <c r="R9" s="6">
        <v>710</v>
      </c>
      <c r="S9" s="6">
        <v>720</v>
      </c>
      <c r="T9" s="6">
        <v>719</v>
      </c>
      <c r="U9" s="6">
        <v>725</v>
      </c>
      <c r="V9" s="6">
        <v>719</v>
      </c>
      <c r="W9" s="6">
        <v>723</v>
      </c>
      <c r="X9" s="6">
        <v>730</v>
      </c>
      <c r="Y9" s="6">
        <v>733</v>
      </c>
      <c r="Z9" s="6">
        <v>731</v>
      </c>
      <c r="AA9" s="6">
        <v>737</v>
      </c>
      <c r="AB9" s="6">
        <v>738</v>
      </c>
      <c r="AC9" s="6">
        <v>731</v>
      </c>
      <c r="AD9" s="6">
        <v>735</v>
      </c>
      <c r="AE9" s="6">
        <v>733</v>
      </c>
      <c r="AF9" s="6">
        <v>739</v>
      </c>
      <c r="AG9" s="6">
        <v>738</v>
      </c>
      <c r="AH9" s="6">
        <v>739</v>
      </c>
      <c r="AI9" s="6">
        <v>747</v>
      </c>
      <c r="AJ9" s="6">
        <v>744</v>
      </c>
      <c r="AK9" s="6">
        <v>754</v>
      </c>
      <c r="AL9" s="6">
        <v>749</v>
      </c>
      <c r="AM9" s="6">
        <v>751</v>
      </c>
      <c r="AN9" s="6">
        <v>761</v>
      </c>
      <c r="AO9" s="6">
        <v>759</v>
      </c>
      <c r="AP9" s="6">
        <v>754</v>
      </c>
      <c r="AQ9" s="6">
        <v>757</v>
      </c>
      <c r="AR9" s="6">
        <v>762</v>
      </c>
      <c r="AS9" s="7">
        <f>AVERAGE(I9:T9)</f>
        <v>709</v>
      </c>
      <c r="AT9" s="7">
        <f>AVERAGE(U9:AF9)</f>
        <v>731.16666666666663</v>
      </c>
      <c r="AU9" s="7">
        <f>AVERAGE(AG9:AR9)</f>
        <v>751.25</v>
      </c>
    </row>
    <row r="10" spans="1:48" ht="20.100000000000001" customHeight="1" x14ac:dyDescent="0.2">
      <c r="B10" s="3" t="s">
        <v>18</v>
      </c>
      <c r="C10" s="3"/>
      <c r="D10" s="27"/>
      <c r="E10" s="27"/>
      <c r="F10" s="3" t="str">
        <f t="shared" si="2"/>
        <v>-32% to +29%</v>
      </c>
      <c r="G10" s="9" t="s">
        <v>26</v>
      </c>
      <c r="H10" s="11" t="b">
        <v>0</v>
      </c>
      <c r="I10" s="6">
        <v>103500</v>
      </c>
      <c r="J10" s="6">
        <v>112500</v>
      </c>
      <c r="K10" s="6">
        <v>147400</v>
      </c>
      <c r="L10" s="6">
        <v>123400</v>
      </c>
      <c r="M10" s="6">
        <v>124100</v>
      </c>
      <c r="N10" s="6">
        <v>113600</v>
      </c>
      <c r="O10" s="6">
        <v>105700</v>
      </c>
      <c r="P10" s="6">
        <v>112800</v>
      </c>
      <c r="Q10" s="6">
        <v>153600</v>
      </c>
      <c r="R10" s="6">
        <v>140800</v>
      </c>
      <c r="S10" s="6">
        <v>128500</v>
      </c>
      <c r="T10" s="6">
        <v>104000</v>
      </c>
      <c r="U10" s="6">
        <v>115300</v>
      </c>
      <c r="V10" s="6">
        <v>121400</v>
      </c>
      <c r="W10" s="6">
        <v>168500</v>
      </c>
      <c r="X10" s="6">
        <v>142600</v>
      </c>
      <c r="Y10" s="6">
        <v>131200</v>
      </c>
      <c r="Z10" s="6">
        <v>126500</v>
      </c>
      <c r="AA10" s="6">
        <v>117000</v>
      </c>
      <c r="AB10" s="6">
        <v>125600</v>
      </c>
      <c r="AC10" s="6">
        <v>174300</v>
      </c>
      <c r="AD10" s="6">
        <v>149200</v>
      </c>
      <c r="AE10" s="6">
        <v>143700</v>
      </c>
      <c r="AF10" s="6">
        <v>110800</v>
      </c>
      <c r="AG10" s="6">
        <v>125400</v>
      </c>
      <c r="AH10" s="6">
        <v>140400</v>
      </c>
      <c r="AI10" s="6">
        <v>186500</v>
      </c>
      <c r="AJ10" s="6">
        <v>156000</v>
      </c>
      <c r="AK10" s="6">
        <v>151700</v>
      </c>
      <c r="AL10" s="6">
        <v>141300</v>
      </c>
      <c r="AM10" s="6">
        <v>128800</v>
      </c>
      <c r="AN10" s="6">
        <v>134700</v>
      </c>
      <c r="AO10" s="6">
        <v>194800</v>
      </c>
      <c r="AP10" s="6">
        <v>170300</v>
      </c>
      <c r="AQ10" s="6">
        <v>157300</v>
      </c>
      <c r="AR10" s="6">
        <v>128000</v>
      </c>
      <c r="AS10" s="7">
        <f>SUM(I10:T10)</f>
        <v>1469900</v>
      </c>
      <c r="AT10" s="7">
        <f>SUM(U10:AF10)</f>
        <v>1626100</v>
      </c>
      <c r="AU10" s="7">
        <f>SUM(AG10:AR10)</f>
        <v>1815200</v>
      </c>
    </row>
    <row r="11" spans="1:48" ht="20.100000000000001" customHeight="1" x14ac:dyDescent="0.2">
      <c r="B11" s="3" t="s">
        <v>19</v>
      </c>
      <c r="C11" s="3"/>
      <c r="D11" s="8"/>
      <c r="E11" s="8"/>
      <c r="F11" s="3" t="str">
        <f t="shared" si="2"/>
        <v>-13% to +0%</v>
      </c>
      <c r="G11" s="9" t="s">
        <v>27</v>
      </c>
      <c r="H11" s="11" t="b">
        <v>0</v>
      </c>
      <c r="I11" s="6">
        <v>52</v>
      </c>
      <c r="J11" s="6">
        <v>52</v>
      </c>
      <c r="K11" s="6">
        <v>53</v>
      </c>
      <c r="L11" s="6">
        <v>53</v>
      </c>
      <c r="M11" s="6">
        <v>54</v>
      </c>
      <c r="N11" s="6">
        <v>54</v>
      </c>
      <c r="O11" s="6">
        <v>54</v>
      </c>
      <c r="P11" s="6">
        <v>55</v>
      </c>
      <c r="Q11" s="6">
        <v>55</v>
      </c>
      <c r="R11" s="6">
        <v>55</v>
      </c>
      <c r="S11" s="6">
        <v>56</v>
      </c>
      <c r="T11" s="6">
        <v>56</v>
      </c>
      <c r="U11" s="6">
        <v>56</v>
      </c>
      <c r="V11" s="6">
        <v>56</v>
      </c>
      <c r="W11" s="6">
        <v>57</v>
      </c>
      <c r="X11" s="6">
        <v>57</v>
      </c>
      <c r="Y11" s="6">
        <v>57</v>
      </c>
      <c r="Z11" s="6">
        <v>58</v>
      </c>
      <c r="AA11" s="6">
        <v>58</v>
      </c>
      <c r="AB11" s="6">
        <v>58</v>
      </c>
      <c r="AC11" s="6">
        <v>58</v>
      </c>
      <c r="AD11" s="6">
        <v>59</v>
      </c>
      <c r="AE11" s="6">
        <v>59</v>
      </c>
      <c r="AF11" s="6">
        <v>59</v>
      </c>
      <c r="AG11" s="6">
        <v>59</v>
      </c>
      <c r="AH11" s="6">
        <v>59</v>
      </c>
      <c r="AI11" s="6">
        <v>59</v>
      </c>
      <c r="AJ11" s="6">
        <v>60</v>
      </c>
      <c r="AK11" s="6">
        <v>60</v>
      </c>
      <c r="AL11" s="6">
        <v>60</v>
      </c>
      <c r="AM11" s="6">
        <v>60</v>
      </c>
      <c r="AN11" s="6">
        <v>60</v>
      </c>
      <c r="AO11" s="6">
        <v>60</v>
      </c>
      <c r="AP11" s="6">
        <v>60</v>
      </c>
      <c r="AQ11" s="6">
        <v>60</v>
      </c>
      <c r="AR11" s="6">
        <v>60</v>
      </c>
      <c r="AS11" s="7">
        <f>AVERAGE(I11:T11)</f>
        <v>54.083333333333336</v>
      </c>
      <c r="AT11" s="7">
        <f>AVERAGE(U11:AF11)</f>
        <v>57.666666666666664</v>
      </c>
      <c r="AU11" s="7">
        <f>AVERAGE(AG11:AR11)</f>
        <v>59.75</v>
      </c>
    </row>
    <row r="12" spans="1:48" ht="20.100000000000001" customHeight="1" x14ac:dyDescent="0.2">
      <c r="B12" s="3" t="s">
        <v>20</v>
      </c>
      <c r="C12" s="3"/>
      <c r="D12" s="27"/>
      <c r="E12" s="27"/>
      <c r="F12" s="3" t="str">
        <f t="shared" si="2"/>
        <v>-7% to +1%</v>
      </c>
      <c r="G12" s="9" t="s">
        <v>27</v>
      </c>
      <c r="H12" s="11" t="b">
        <v>0</v>
      </c>
      <c r="I12" s="6">
        <v>7510</v>
      </c>
      <c r="J12" s="6">
        <v>7440</v>
      </c>
      <c r="K12" s="6">
        <v>7520</v>
      </c>
      <c r="L12" s="6">
        <v>7550</v>
      </c>
      <c r="M12" s="6">
        <v>7450</v>
      </c>
      <c r="N12" s="6">
        <v>7430</v>
      </c>
      <c r="O12" s="6">
        <v>7490</v>
      </c>
      <c r="P12" s="6">
        <v>7500</v>
      </c>
      <c r="Q12" s="6">
        <v>7490</v>
      </c>
      <c r="R12" s="6">
        <v>7540</v>
      </c>
      <c r="S12" s="6">
        <v>7510</v>
      </c>
      <c r="T12" s="6">
        <v>7430</v>
      </c>
      <c r="U12" s="6">
        <v>7730</v>
      </c>
      <c r="V12" s="6">
        <v>7680</v>
      </c>
      <c r="W12" s="6">
        <v>7680</v>
      </c>
      <c r="X12" s="6">
        <v>7720</v>
      </c>
      <c r="Y12" s="6">
        <v>7700</v>
      </c>
      <c r="Z12" s="6">
        <v>7670</v>
      </c>
      <c r="AA12" s="6">
        <v>7750</v>
      </c>
      <c r="AB12" s="6">
        <v>7810</v>
      </c>
      <c r="AC12" s="6">
        <v>7680</v>
      </c>
      <c r="AD12" s="6">
        <v>7670</v>
      </c>
      <c r="AE12" s="6">
        <v>7770</v>
      </c>
      <c r="AF12" s="6">
        <v>7800</v>
      </c>
      <c r="AG12" s="6">
        <v>7970</v>
      </c>
      <c r="AH12" s="6">
        <v>8000</v>
      </c>
      <c r="AI12" s="6">
        <v>8060</v>
      </c>
      <c r="AJ12" s="6">
        <v>8010</v>
      </c>
      <c r="AK12" s="6">
        <v>8060</v>
      </c>
      <c r="AL12" s="6">
        <v>7980</v>
      </c>
      <c r="AM12" s="6">
        <v>8070</v>
      </c>
      <c r="AN12" s="6">
        <v>7960</v>
      </c>
      <c r="AO12" s="6">
        <v>8050</v>
      </c>
      <c r="AP12" s="6">
        <v>8070</v>
      </c>
      <c r="AQ12" s="6">
        <v>7970</v>
      </c>
      <c r="AR12" s="6">
        <v>8040</v>
      </c>
      <c r="AS12" s="7">
        <f>AVERAGE(I12:T12)</f>
        <v>7488.333333333333</v>
      </c>
      <c r="AT12" s="7">
        <f>AVERAGE(U12:AF12)</f>
        <v>7721.666666666667</v>
      </c>
      <c r="AU12" s="7">
        <f>AVERAGE(AG12:AR12)</f>
        <v>8020</v>
      </c>
    </row>
    <row r="13" spans="1:48" ht="20.100000000000001" customHeight="1" x14ac:dyDescent="0.2">
      <c r="B13" s="3" t="s">
        <v>21</v>
      </c>
      <c r="C13" s="3"/>
      <c r="D13" s="27"/>
      <c r="E13" s="27"/>
      <c r="F13" s="3" t="str">
        <f t="shared" si="2"/>
        <v>-16% to +20%</v>
      </c>
      <c r="G13" s="9" t="s">
        <v>27</v>
      </c>
      <c r="H13" s="11" t="b">
        <v>0</v>
      </c>
      <c r="I13" s="18">
        <v>2.2499999999999999E-2</v>
      </c>
      <c r="J13" s="18">
        <v>2.3E-2</v>
      </c>
      <c r="K13" s="18">
        <v>1.9199999999999998E-2</v>
      </c>
      <c r="L13" s="18">
        <v>1.9800000000000002E-2</v>
      </c>
      <c r="M13" s="18">
        <v>1.9E-2</v>
      </c>
      <c r="N13" s="18">
        <v>1.9699999999999999E-2</v>
      </c>
      <c r="O13" s="18">
        <v>1.61E-2</v>
      </c>
      <c r="P13" s="18">
        <v>1.7899999999999999E-2</v>
      </c>
      <c r="Q13" s="18">
        <v>1.9800000000000002E-2</v>
      </c>
      <c r="R13" s="18">
        <v>1.8599999999999998E-2</v>
      </c>
      <c r="S13" s="18">
        <v>1.9599999999999999E-2</v>
      </c>
      <c r="T13" s="18">
        <v>2.0500000000000001E-2</v>
      </c>
      <c r="U13" s="18">
        <v>2.1899999999999999E-2</v>
      </c>
      <c r="V13" s="18">
        <v>2.1000000000000001E-2</v>
      </c>
      <c r="W13" s="18">
        <v>1.8200000000000001E-2</v>
      </c>
      <c r="X13" s="18">
        <v>1.83E-2</v>
      </c>
      <c r="Y13" s="18">
        <v>1.61E-2</v>
      </c>
      <c r="Z13" s="18">
        <v>1.6899999999999998E-2</v>
      </c>
      <c r="AA13" s="18">
        <v>1.7100000000000001E-2</v>
      </c>
      <c r="AB13" s="18">
        <v>1.9699999999999999E-2</v>
      </c>
      <c r="AC13" s="18">
        <v>1.9099999999999999E-2</v>
      </c>
      <c r="AD13" s="18">
        <v>1.66E-2</v>
      </c>
      <c r="AE13" s="18">
        <v>1.9199999999999998E-2</v>
      </c>
      <c r="AF13" s="18">
        <v>2.06E-2</v>
      </c>
      <c r="AG13" s="18">
        <v>2.2499999999999999E-2</v>
      </c>
      <c r="AH13" s="18">
        <v>2.0500000000000001E-2</v>
      </c>
      <c r="AI13" s="18">
        <v>1.6E-2</v>
      </c>
      <c r="AJ13" s="18">
        <v>1.95E-2</v>
      </c>
      <c r="AK13" s="18">
        <v>1.6799999999999999E-2</v>
      </c>
      <c r="AL13" s="18">
        <v>1.6899999999999998E-2</v>
      </c>
      <c r="AM13" s="18">
        <v>1.9900000000000001E-2</v>
      </c>
      <c r="AN13" s="18">
        <v>1.95E-2</v>
      </c>
      <c r="AO13" s="18">
        <v>1.72E-2</v>
      </c>
      <c r="AP13" s="18">
        <v>1.9800000000000002E-2</v>
      </c>
      <c r="AQ13" s="18">
        <v>1.8200000000000001E-2</v>
      </c>
      <c r="AR13" s="18">
        <v>2.2700000000000001E-2</v>
      </c>
      <c r="AS13" s="24">
        <f>AVERAGE(I13:T13)</f>
        <v>1.9641666666666665E-2</v>
      </c>
      <c r="AT13" s="24">
        <f>AVERAGE(U13:AF13)</f>
        <v>1.8725000000000002E-2</v>
      </c>
      <c r="AU13" s="24">
        <f>AVERAGE(AG13:AR13)</f>
        <v>1.9125E-2</v>
      </c>
    </row>
    <row r="15" spans="1:48" ht="21.75" customHeight="1" x14ac:dyDescent="0.2">
      <c r="B15" s="4" t="s">
        <v>22</v>
      </c>
      <c r="C15" s="4" t="s">
        <v>28</v>
      </c>
      <c r="D15" s="4" t="s">
        <v>29</v>
      </c>
      <c r="E15" s="4" t="s">
        <v>30</v>
      </c>
      <c r="F15" s="4" t="s">
        <v>31</v>
      </c>
      <c r="G15" s="4" t="s">
        <v>25</v>
      </c>
      <c r="H15" s="4"/>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8" ht="20.100000000000001" customHeight="1" x14ac:dyDescent="0.2">
      <c r="B16" s="20" t="s">
        <v>23</v>
      </c>
      <c r="C16" s="3"/>
      <c r="D16" s="8"/>
      <c r="E16" s="8"/>
      <c r="F16" s="3"/>
      <c r="G16" s="3"/>
      <c r="H16" s="13"/>
      <c r="I16" s="6">
        <v>617025</v>
      </c>
      <c r="J16" s="6">
        <v>666540</v>
      </c>
      <c r="K16" s="6">
        <v>789888</v>
      </c>
      <c r="L16" s="6">
        <v>810576</v>
      </c>
      <c r="M16" s="6">
        <v>824250</v>
      </c>
      <c r="N16" s="6">
        <v>816860</v>
      </c>
      <c r="O16" s="6">
        <v>740412</v>
      </c>
      <c r="P16" s="6">
        <v>735988</v>
      </c>
      <c r="Q16" s="6">
        <v>813348</v>
      </c>
      <c r="R16" s="6">
        <v>827670</v>
      </c>
      <c r="S16" s="6">
        <v>771730</v>
      </c>
      <c r="T16" s="6">
        <v>637980</v>
      </c>
      <c r="U16" s="6">
        <v>643540</v>
      </c>
      <c r="V16" s="6">
        <v>673060</v>
      </c>
      <c r="W16" s="6">
        <v>826440</v>
      </c>
      <c r="X16" s="6">
        <v>887172</v>
      </c>
      <c r="Y16" s="6">
        <v>901875</v>
      </c>
      <c r="Z16" s="6">
        <v>864595</v>
      </c>
      <c r="AA16" s="6">
        <v>777834</v>
      </c>
      <c r="AB16" s="6">
        <v>767520</v>
      </c>
      <c r="AC16" s="6">
        <v>882866</v>
      </c>
      <c r="AD16" s="6">
        <v>884056</v>
      </c>
      <c r="AE16" s="6">
        <v>817768</v>
      </c>
      <c r="AF16" s="6">
        <v>664110</v>
      </c>
      <c r="AG16" s="6">
        <v>693840</v>
      </c>
      <c r="AH16" s="6">
        <v>753948</v>
      </c>
      <c r="AI16" s="6">
        <v>900360</v>
      </c>
      <c r="AJ16" s="6">
        <v>947925</v>
      </c>
      <c r="AK16" s="6">
        <v>958755</v>
      </c>
      <c r="AL16" s="6">
        <v>971210</v>
      </c>
      <c r="AM16" s="6">
        <v>832283</v>
      </c>
      <c r="AN16" s="6">
        <v>851840</v>
      </c>
      <c r="AO16" s="6">
        <v>926364</v>
      </c>
      <c r="AP16" s="6">
        <v>992670</v>
      </c>
      <c r="AQ16" s="6">
        <v>909006</v>
      </c>
      <c r="AR16" s="6">
        <v>740304</v>
      </c>
      <c r="AS16" s="7">
        <f t="shared" ref="AS16:AS21" si="3">SUM(I16:T16)</f>
        <v>9052267</v>
      </c>
      <c r="AT16" s="7">
        <f t="shared" ref="AT16:AT21" si="4">SUM(U16:AF16)</f>
        <v>9590836</v>
      </c>
      <c r="AU16" s="7">
        <f t="shared" ref="AU16:AU21" si="5">SUM(AG16:AR16)</f>
        <v>10478505</v>
      </c>
    </row>
    <row r="17" spans="2:47" ht="20.100000000000001" customHeight="1" x14ac:dyDescent="0.2">
      <c r="B17" s="19" t="s">
        <v>33</v>
      </c>
      <c r="C17" s="3"/>
      <c r="D17" s="8"/>
      <c r="E17" s="8"/>
      <c r="F17" s="3"/>
      <c r="G17" s="3"/>
      <c r="H17" s="13"/>
      <c r="I17" s="6">
        <v>1244689</v>
      </c>
      <c r="J17" s="6">
        <v>1350483</v>
      </c>
      <c r="K17" s="6">
        <v>1577778</v>
      </c>
      <c r="L17" s="6">
        <v>1656703</v>
      </c>
      <c r="M17" s="6">
        <v>1667119</v>
      </c>
      <c r="N17" s="6">
        <v>1672475</v>
      </c>
      <c r="O17" s="6">
        <v>1512950</v>
      </c>
      <c r="P17" s="6">
        <v>1491842</v>
      </c>
      <c r="Q17" s="6">
        <v>1722110</v>
      </c>
      <c r="R17" s="6">
        <v>1715902</v>
      </c>
      <c r="S17" s="6">
        <v>1608154</v>
      </c>
      <c r="T17" s="6">
        <v>1346836</v>
      </c>
      <c r="U17" s="6">
        <v>1373654</v>
      </c>
      <c r="V17" s="6">
        <v>1407693</v>
      </c>
      <c r="W17" s="6">
        <v>1671778</v>
      </c>
      <c r="X17" s="6">
        <v>1840723</v>
      </c>
      <c r="Y17" s="6">
        <v>1847913</v>
      </c>
      <c r="Z17" s="6">
        <v>1809183</v>
      </c>
      <c r="AA17" s="6">
        <v>1631340</v>
      </c>
      <c r="AB17" s="6">
        <v>1609071</v>
      </c>
      <c r="AC17" s="6">
        <v>1839527</v>
      </c>
      <c r="AD17" s="6">
        <v>1833371</v>
      </c>
      <c r="AE17" s="6">
        <v>1699281</v>
      </c>
      <c r="AF17" s="6">
        <v>1411968</v>
      </c>
      <c r="AG17" s="6">
        <v>1442729</v>
      </c>
      <c r="AH17" s="6">
        <v>1594221</v>
      </c>
      <c r="AI17" s="6">
        <v>1878989</v>
      </c>
      <c r="AJ17" s="6">
        <v>1959269</v>
      </c>
      <c r="AK17" s="6">
        <v>1996240</v>
      </c>
      <c r="AL17" s="6">
        <v>2004034</v>
      </c>
      <c r="AM17" s="6">
        <v>1755051</v>
      </c>
      <c r="AN17" s="6">
        <v>1806842</v>
      </c>
      <c r="AO17" s="6">
        <v>1961178</v>
      </c>
      <c r="AP17" s="6">
        <v>2093745</v>
      </c>
      <c r="AQ17" s="6">
        <v>1913586</v>
      </c>
      <c r="AR17" s="6">
        <v>1568044</v>
      </c>
      <c r="AS17" s="7">
        <f t="shared" si="3"/>
        <v>18567041</v>
      </c>
      <c r="AT17" s="7">
        <f t="shared" si="4"/>
        <v>19975502</v>
      </c>
      <c r="AU17" s="7">
        <f t="shared" si="5"/>
        <v>21973928</v>
      </c>
    </row>
    <row r="18" spans="2:47" ht="20.100000000000001" customHeight="1" x14ac:dyDescent="0.2">
      <c r="B18" s="19" t="s">
        <v>37</v>
      </c>
      <c r="C18" s="3"/>
      <c r="D18" s="8"/>
      <c r="E18" s="8"/>
      <c r="F18" s="3"/>
      <c r="G18" s="3"/>
      <c r="H18" s="13"/>
      <c r="I18" s="6">
        <v>284234</v>
      </c>
      <c r="J18" s="6">
        <v>277917</v>
      </c>
      <c r="K18" s="6">
        <v>352878</v>
      </c>
      <c r="L18" s="6">
        <v>385325</v>
      </c>
      <c r="M18" s="6">
        <v>390881</v>
      </c>
      <c r="N18" s="6">
        <v>376627</v>
      </c>
      <c r="O18" s="6">
        <v>340438</v>
      </c>
      <c r="P18" s="6">
        <v>347350</v>
      </c>
      <c r="Q18" s="6">
        <v>365306</v>
      </c>
      <c r="R18" s="6">
        <v>362078</v>
      </c>
      <c r="S18" s="6">
        <v>376776</v>
      </c>
      <c r="T18" s="6">
        <v>277612</v>
      </c>
      <c r="U18" s="6">
        <v>284161</v>
      </c>
      <c r="V18" s="6">
        <v>315107</v>
      </c>
      <c r="W18" s="6">
        <v>386654</v>
      </c>
      <c r="X18" s="6">
        <v>384539</v>
      </c>
      <c r="Y18" s="6">
        <v>428337</v>
      </c>
      <c r="Z18" s="6">
        <v>374867</v>
      </c>
      <c r="AA18" s="6">
        <v>355911</v>
      </c>
      <c r="AB18" s="6">
        <v>368769</v>
      </c>
      <c r="AC18" s="6">
        <v>393496</v>
      </c>
      <c r="AD18" s="6">
        <v>427340</v>
      </c>
      <c r="AE18" s="6">
        <v>377781</v>
      </c>
      <c r="AF18" s="6">
        <v>296349</v>
      </c>
      <c r="AG18" s="6">
        <v>335971</v>
      </c>
      <c r="AH18" s="6">
        <v>350256</v>
      </c>
      <c r="AI18" s="6">
        <v>399586</v>
      </c>
      <c r="AJ18" s="6">
        <v>413416</v>
      </c>
      <c r="AK18" s="6">
        <v>459205</v>
      </c>
      <c r="AL18" s="6">
        <v>442706</v>
      </c>
      <c r="AM18" s="6">
        <v>360691</v>
      </c>
      <c r="AN18" s="6">
        <v>384358</v>
      </c>
      <c r="AO18" s="6">
        <v>436128</v>
      </c>
      <c r="AP18" s="6">
        <v>429545</v>
      </c>
      <c r="AQ18" s="6">
        <v>420094</v>
      </c>
      <c r="AR18" s="6">
        <v>354884</v>
      </c>
      <c r="AS18" s="7">
        <f t="shared" si="3"/>
        <v>4137422</v>
      </c>
      <c r="AT18" s="7">
        <f t="shared" si="4"/>
        <v>4393311</v>
      </c>
      <c r="AU18" s="7">
        <f t="shared" si="5"/>
        <v>4786840</v>
      </c>
    </row>
    <row r="19" spans="2:47" ht="20.100000000000001" customHeight="1" x14ac:dyDescent="0.2">
      <c r="B19" s="19" t="s">
        <v>34</v>
      </c>
      <c r="C19" s="3"/>
      <c r="D19" s="8"/>
      <c r="E19" s="8"/>
      <c r="F19" s="3"/>
      <c r="G19" s="3"/>
      <c r="H19" s="13"/>
      <c r="I19" s="6">
        <v>573419</v>
      </c>
      <c r="J19" s="6">
        <v>603928</v>
      </c>
      <c r="K19" s="6">
        <v>699655</v>
      </c>
      <c r="L19" s="6">
        <v>758608</v>
      </c>
      <c r="M19" s="6">
        <v>769316</v>
      </c>
      <c r="N19" s="6">
        <v>771840</v>
      </c>
      <c r="O19" s="6">
        <v>689627</v>
      </c>
      <c r="P19" s="6">
        <v>694469</v>
      </c>
      <c r="Q19" s="6">
        <v>798710</v>
      </c>
      <c r="R19" s="6">
        <v>771846</v>
      </c>
      <c r="S19" s="6">
        <v>741186</v>
      </c>
      <c r="T19" s="6">
        <v>605623</v>
      </c>
      <c r="U19" s="6">
        <v>637818</v>
      </c>
      <c r="V19" s="6">
        <v>651357</v>
      </c>
      <c r="W19" s="6">
        <v>769956</v>
      </c>
      <c r="X19" s="6">
        <v>817215</v>
      </c>
      <c r="Y19" s="6">
        <v>847735</v>
      </c>
      <c r="Z19" s="6">
        <v>813839</v>
      </c>
      <c r="AA19" s="6">
        <v>745302</v>
      </c>
      <c r="AB19" s="6">
        <v>740188</v>
      </c>
      <c r="AC19" s="6">
        <v>850511</v>
      </c>
      <c r="AD19" s="6">
        <v>866926</v>
      </c>
      <c r="AE19" s="6">
        <v>774147</v>
      </c>
      <c r="AF19" s="6">
        <v>646482</v>
      </c>
      <c r="AG19" s="6">
        <v>681641</v>
      </c>
      <c r="AH19" s="6">
        <v>746186</v>
      </c>
      <c r="AI19" s="6">
        <v>866892</v>
      </c>
      <c r="AJ19" s="6">
        <v>872142</v>
      </c>
      <c r="AK19" s="6">
        <v>938267</v>
      </c>
      <c r="AL19" s="6">
        <v>929563</v>
      </c>
      <c r="AM19" s="6">
        <v>794552</v>
      </c>
      <c r="AN19" s="6">
        <v>829842</v>
      </c>
      <c r="AO19" s="6">
        <v>901585</v>
      </c>
      <c r="AP19" s="6">
        <v>963060</v>
      </c>
      <c r="AQ19" s="6">
        <v>878696</v>
      </c>
      <c r="AR19" s="6">
        <v>739897</v>
      </c>
      <c r="AS19" s="7">
        <f t="shared" si="3"/>
        <v>8478227</v>
      </c>
      <c r="AT19" s="7">
        <f t="shared" si="4"/>
        <v>9161476</v>
      </c>
      <c r="AU19" s="7">
        <f t="shared" si="5"/>
        <v>10142323</v>
      </c>
    </row>
    <row r="20" spans="2:47" ht="20.100000000000001" customHeight="1" x14ac:dyDescent="0.2">
      <c r="B20" s="19" t="s">
        <v>35</v>
      </c>
      <c r="C20" s="3"/>
      <c r="D20" s="8"/>
      <c r="E20" s="8"/>
      <c r="F20" s="3"/>
      <c r="G20" s="3"/>
      <c r="H20" s="13"/>
      <c r="I20" s="6">
        <v>102047</v>
      </c>
      <c r="J20" s="6">
        <v>103869</v>
      </c>
      <c r="K20" s="6">
        <v>121443</v>
      </c>
      <c r="L20" s="6">
        <v>136729</v>
      </c>
      <c r="M20" s="6">
        <v>133713</v>
      </c>
      <c r="N20" s="6">
        <v>135309</v>
      </c>
      <c r="O20" s="6">
        <v>124705</v>
      </c>
      <c r="P20" s="6">
        <v>116089</v>
      </c>
      <c r="Q20" s="6">
        <v>134007</v>
      </c>
      <c r="R20" s="6">
        <v>138516</v>
      </c>
      <c r="S20" s="6">
        <v>129581</v>
      </c>
      <c r="T20" s="6">
        <v>111034</v>
      </c>
      <c r="U20" s="6">
        <v>109992</v>
      </c>
      <c r="V20" s="6">
        <v>118365</v>
      </c>
      <c r="W20" s="6">
        <v>139181</v>
      </c>
      <c r="X20" s="6">
        <v>153155</v>
      </c>
      <c r="Y20" s="6">
        <v>152704</v>
      </c>
      <c r="Z20" s="6">
        <v>150737</v>
      </c>
      <c r="AA20" s="6">
        <v>130820</v>
      </c>
      <c r="AB20" s="6">
        <v>128885</v>
      </c>
      <c r="AC20" s="6">
        <v>143947</v>
      </c>
      <c r="AD20" s="6">
        <v>151894</v>
      </c>
      <c r="AE20" s="6">
        <v>139706</v>
      </c>
      <c r="AF20" s="6">
        <v>114046</v>
      </c>
      <c r="AG20" s="6">
        <v>114265</v>
      </c>
      <c r="AH20" s="6">
        <v>126560</v>
      </c>
      <c r="AI20" s="6">
        <v>153401</v>
      </c>
      <c r="AJ20" s="6">
        <v>155791</v>
      </c>
      <c r="AK20" s="6">
        <v>161565</v>
      </c>
      <c r="AL20" s="6">
        <v>167506</v>
      </c>
      <c r="AM20" s="6">
        <v>141029</v>
      </c>
      <c r="AN20" s="6">
        <v>144531</v>
      </c>
      <c r="AO20" s="6">
        <v>159994</v>
      </c>
      <c r="AP20" s="6">
        <v>170312</v>
      </c>
      <c r="AQ20" s="6">
        <v>150861</v>
      </c>
      <c r="AR20" s="6">
        <v>134433</v>
      </c>
      <c r="AS20" s="7">
        <f t="shared" si="3"/>
        <v>1487042</v>
      </c>
      <c r="AT20" s="7">
        <f t="shared" si="4"/>
        <v>1633432</v>
      </c>
      <c r="AU20" s="7">
        <f t="shared" si="5"/>
        <v>1780248</v>
      </c>
    </row>
    <row r="21" spans="2:47" ht="20.100000000000001" customHeight="1" x14ac:dyDescent="0.2">
      <c r="B21" s="19" t="s">
        <v>36</v>
      </c>
      <c r="C21" s="3"/>
      <c r="D21" s="8"/>
      <c r="E21" s="8"/>
      <c r="F21" s="3"/>
      <c r="G21" s="3"/>
      <c r="H21" s="13"/>
      <c r="I21" s="6">
        <v>236432</v>
      </c>
      <c r="J21" s="6">
        <v>254063</v>
      </c>
      <c r="K21" s="6">
        <v>319670</v>
      </c>
      <c r="L21" s="6">
        <v>336115</v>
      </c>
      <c r="M21" s="6">
        <v>330721</v>
      </c>
      <c r="N21" s="6">
        <v>325093</v>
      </c>
      <c r="O21" s="6">
        <v>298644</v>
      </c>
      <c r="P21" s="6">
        <v>292646</v>
      </c>
      <c r="Q21" s="6">
        <v>341351</v>
      </c>
      <c r="R21" s="6">
        <v>339948</v>
      </c>
      <c r="S21" s="6">
        <v>342433</v>
      </c>
      <c r="T21" s="6">
        <v>269811</v>
      </c>
      <c r="U21" s="6">
        <v>266465</v>
      </c>
      <c r="V21" s="6">
        <v>280018</v>
      </c>
      <c r="W21" s="6">
        <v>322855</v>
      </c>
      <c r="X21" s="6">
        <v>367720</v>
      </c>
      <c r="Y21" s="6">
        <v>373936</v>
      </c>
      <c r="Z21" s="6">
        <v>354879</v>
      </c>
      <c r="AA21" s="6">
        <v>333295</v>
      </c>
      <c r="AB21" s="6">
        <v>341247</v>
      </c>
      <c r="AC21" s="6">
        <v>355699</v>
      </c>
      <c r="AD21" s="6">
        <v>357835</v>
      </c>
      <c r="AE21" s="6">
        <v>345441</v>
      </c>
      <c r="AF21" s="6">
        <v>283679</v>
      </c>
      <c r="AG21" s="6">
        <v>288954</v>
      </c>
      <c r="AH21" s="6">
        <v>317783</v>
      </c>
      <c r="AI21" s="6">
        <v>357922</v>
      </c>
      <c r="AJ21" s="6">
        <v>396827</v>
      </c>
      <c r="AK21" s="6">
        <v>396858</v>
      </c>
      <c r="AL21" s="6">
        <v>378461</v>
      </c>
      <c r="AM21" s="6">
        <v>347878</v>
      </c>
      <c r="AN21" s="6">
        <v>364987</v>
      </c>
      <c r="AO21" s="6">
        <v>409363</v>
      </c>
      <c r="AP21" s="6">
        <v>397248</v>
      </c>
      <c r="AQ21" s="6">
        <v>395117</v>
      </c>
      <c r="AR21" s="6">
        <v>308294</v>
      </c>
      <c r="AS21" s="7">
        <f t="shared" si="3"/>
        <v>3686927</v>
      </c>
      <c r="AT21" s="7">
        <f t="shared" si="4"/>
        <v>3983069</v>
      </c>
      <c r="AU21" s="7">
        <f t="shared" si="5"/>
        <v>4359692</v>
      </c>
    </row>
    <row r="23" spans="2:47" ht="21.75" customHeight="1" x14ac:dyDescent="0.2"/>
    <row r="24" spans="2:47" ht="20.100000000000001" customHeight="1" x14ac:dyDescent="0.2"/>
    <row r="25" spans="2:47" ht="20.100000000000001" customHeight="1" x14ac:dyDescent="0.2"/>
    <row r="26" spans="2:47" ht="20.100000000000001" customHeight="1" x14ac:dyDescent="0.2"/>
    <row r="27" spans="2:47" ht="20.100000000000001" customHeight="1" x14ac:dyDescent="0.2"/>
    <row r="28" spans="2:47" ht="20.100000000000001" customHeight="1" x14ac:dyDescent="0.2"/>
  </sheetData>
  <phoneticPr fontId="18" type="noConversion"/>
  <dataValidations count="2">
    <dataValidation type="list" allowBlank="1" sqref="G7:G13" xr:uid="{0EE6D34E-9F90-4B67-8078-33BF08645D73}">
      <formula1>"Sum,Average"</formula1>
    </dataValidation>
    <dataValidation allowBlank="1" sqref="H7:H13" xr:uid="{E924B118-E597-4806-B9F5-14D8553989A0}"/>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6C856-9002-49B9-B281-C170E3053E92}">
  <dimension ref="B1:C31"/>
  <sheetViews>
    <sheetView showRowColHeaders="0" workbookViewId="0"/>
  </sheetViews>
  <sheetFormatPr defaultRowHeight="12" x14ac:dyDescent="0.2"/>
  <cols>
    <col min="1" max="1" width="3.28515625" customWidth="1"/>
    <col min="2" max="2" width="28.5703125" customWidth="1"/>
    <col min="3" max="3" width="99" customWidth="1"/>
  </cols>
  <sheetData>
    <row r="1" spans="2:3" s="5" customFormat="1" ht="30" x14ac:dyDescent="0.2">
      <c r="B1" s="5" t="s">
        <v>64</v>
      </c>
    </row>
    <row r="5" spans="2:3" x14ac:dyDescent="0.2">
      <c r="B5" s="3" t="s">
        <v>66</v>
      </c>
      <c r="C5" s="38">
        <v>46287</v>
      </c>
    </row>
    <row r="6" spans="2:3" x14ac:dyDescent="0.2">
      <c r="B6" s="3" t="s">
        <v>67</v>
      </c>
      <c r="C6" s="28" t="s">
        <v>68</v>
      </c>
    </row>
    <row r="7" spans="2:3" x14ac:dyDescent="0.2">
      <c r="B7" s="3" t="s">
        <v>69</v>
      </c>
      <c r="C7" s="28" t="s">
        <v>70</v>
      </c>
    </row>
    <row r="9" spans="2:3" ht="14.25" x14ac:dyDescent="0.2">
      <c r="B9" s="4" t="s">
        <v>71</v>
      </c>
    </row>
    <row r="10" spans="2:3" ht="69.95" customHeight="1" x14ac:dyDescent="0.2">
      <c r="B10" s="56" t="s">
        <v>74</v>
      </c>
      <c r="C10" s="56"/>
    </row>
    <row r="12" spans="2:3" ht="14.25" x14ac:dyDescent="0.2">
      <c r="B12" s="4" t="s">
        <v>72</v>
      </c>
    </row>
    <row r="13" spans="2:3" ht="84.95" customHeight="1" x14ac:dyDescent="0.2">
      <c r="B13" s="56" t="s">
        <v>75</v>
      </c>
      <c r="C13" s="56"/>
    </row>
    <row r="15" spans="2:3" ht="14.25" x14ac:dyDescent="0.2">
      <c r="B15" s="4" t="s">
        <v>73</v>
      </c>
    </row>
    <row r="16" spans="2:3" ht="69.95" customHeight="1" x14ac:dyDescent="0.2">
      <c r="B16" s="56" t="s">
        <v>76</v>
      </c>
      <c r="C16" s="56"/>
    </row>
    <row r="18" spans="2:3" x14ac:dyDescent="0.2">
      <c r="B18" s="3" t="s">
        <v>77</v>
      </c>
      <c r="C18" s="34" t="str">
        <f>Actuals!B16</f>
        <v>Gross Margin</v>
      </c>
    </row>
    <row r="19" spans="2:3" x14ac:dyDescent="0.2">
      <c r="B19" s="3" t="s">
        <v>78</v>
      </c>
      <c r="C19" s="28" t="s">
        <v>79</v>
      </c>
    </row>
    <row r="20" spans="2:3" x14ac:dyDescent="0.2">
      <c r="B20" s="3" t="s">
        <v>80</v>
      </c>
      <c r="C20" s="53">
        <v>0.15</v>
      </c>
    </row>
    <row r="21" spans="2:3" x14ac:dyDescent="0.2">
      <c r="B21" s="3" t="s">
        <v>81</v>
      </c>
      <c r="C21" s="28" t="s">
        <v>82</v>
      </c>
    </row>
    <row r="22" spans="2:3" x14ac:dyDescent="0.2">
      <c r="B22" s="3" t="s">
        <v>83</v>
      </c>
      <c r="C22" s="37">
        <f>SUM(Actuals!AG16:AR16)</f>
        <v>10478505</v>
      </c>
    </row>
    <row r="23" spans="2:3" x14ac:dyDescent="0.2">
      <c r="B23" s="3" t="s">
        <v>84</v>
      </c>
      <c r="C23" s="37">
        <f>C22*(1+C20)</f>
        <v>12050280.75</v>
      </c>
    </row>
    <row r="24" spans="2:3" x14ac:dyDescent="0.2">
      <c r="B24" s="3" t="s">
        <v>85</v>
      </c>
      <c r="C24" s="36">
        <f>Actuals!AU3+1</f>
        <v>2027</v>
      </c>
    </row>
    <row r="25" spans="2:3" ht="60" x14ac:dyDescent="0.2">
      <c r="B25" s="3" t="s">
        <v>86</v>
      </c>
      <c r="C25" s="35" t="s">
        <v>87</v>
      </c>
    </row>
    <row r="26" spans="2:3" ht="240" x14ac:dyDescent="0.2">
      <c r="B26" s="3" t="s">
        <v>88</v>
      </c>
      <c r="C26" s="35" t="s">
        <v>89</v>
      </c>
    </row>
    <row r="27" spans="2:3" ht="120" x14ac:dyDescent="0.2">
      <c r="B27" s="3" t="s">
        <v>90</v>
      </c>
      <c r="C27" s="35" t="s">
        <v>91</v>
      </c>
    </row>
    <row r="28" spans="2:3" ht="144" x14ac:dyDescent="0.2">
      <c r="B28" s="3" t="s">
        <v>92</v>
      </c>
      <c r="C28" s="35" t="s">
        <v>93</v>
      </c>
    </row>
    <row r="29" spans="2:3" ht="156" x14ac:dyDescent="0.2">
      <c r="B29" s="3" t="s">
        <v>94</v>
      </c>
      <c r="C29" s="35" t="s">
        <v>95</v>
      </c>
    </row>
    <row r="30" spans="2:3" ht="264" x14ac:dyDescent="0.2">
      <c r="B30" s="3" t="s">
        <v>96</v>
      </c>
      <c r="C30" s="35" t="s">
        <v>97</v>
      </c>
    </row>
    <row r="31" spans="2:3" ht="324" x14ac:dyDescent="0.2">
      <c r="B31" s="3" t="s">
        <v>98</v>
      </c>
      <c r="C31" s="35" t="s">
        <v>99</v>
      </c>
    </row>
  </sheetData>
  <mergeCells count="3">
    <mergeCell ref="B10:C10"/>
    <mergeCell ref="B13:C13"/>
    <mergeCell ref="B16:C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501E4-EA8E-40C5-868C-BAF8DA290582}">
  <dimension ref="B1:AZ37"/>
  <sheetViews>
    <sheetView showRowColHeaders="0" workbookViewId="0"/>
  </sheetViews>
  <sheetFormatPr defaultRowHeight="12" x14ac:dyDescent="0.2"/>
  <cols>
    <col min="1" max="1" width="3.85546875" customWidth="1"/>
    <col min="2" max="2" width="28.5703125" customWidth="1"/>
    <col min="3" max="3" width="21" customWidth="1"/>
    <col min="4" max="6" width="17.140625" customWidth="1"/>
    <col min="15" max="15" width="18" customWidth="1"/>
  </cols>
  <sheetData>
    <row r="1" spans="2:52" s="5" customFormat="1" ht="30" x14ac:dyDescent="0.2">
      <c r="B1" s="5" t="s">
        <v>65</v>
      </c>
      <c r="AZ1"/>
    </row>
    <row r="4" spans="2:52" ht="14.25" x14ac:dyDescent="0.2">
      <c r="B4" s="4" t="s">
        <v>100</v>
      </c>
    </row>
    <row r="6" spans="2:52" ht="14.25" x14ac:dyDescent="0.2">
      <c r="B6" s="4" t="s">
        <v>101</v>
      </c>
      <c r="C6" s="4" t="s">
        <v>102</v>
      </c>
      <c r="D6" s="4" t="s">
        <v>103</v>
      </c>
      <c r="E6" s="4" t="s">
        <v>29</v>
      </c>
      <c r="F6" s="4" t="s">
        <v>30</v>
      </c>
    </row>
    <row r="7" spans="2:52" x14ac:dyDescent="0.2">
      <c r="B7" s="3" t="str" cm="1">
        <f t="array" ref="B7:B9">IFERROR(_xlfn._xlws.FILTER(Actuals!$B$7:$B$13,Actuals!$H$7:$H$13),"No Drivers Selected")</f>
        <v>Units sold</v>
      </c>
      <c r="C7" s="41" cm="1">
        <f t="array" ref="C7:F15">_xlfn._xlws.PY(0,0,Actuals!I7:AR13,Actuals!H7:H13,Actuals!D7:E13,Actuals!I16:AR16)</f>
        <v>0.98197000000000001</v>
      </c>
      <c r="D7" s="39">
        <v>1805.5833333333333</v>
      </c>
      <c r="E7" s="40">
        <v>-0.08</v>
      </c>
      <c r="F7" s="40">
        <v>0.08</v>
      </c>
    </row>
    <row r="8" spans="2:52" x14ac:dyDescent="0.2">
      <c r="B8" s="3" t="str">
        <v>Average price</v>
      </c>
      <c r="C8" s="41">
        <v>2.4154900000000001</v>
      </c>
      <c r="D8" s="39">
        <v>1234.3333333333333</v>
      </c>
      <c r="E8" s="40">
        <v>-0.05</v>
      </c>
      <c r="F8" s="40">
        <v>0.05</v>
      </c>
    </row>
    <row r="9" spans="2:52" x14ac:dyDescent="0.2">
      <c r="B9" s="3" t="str">
        <v>Unit cost</v>
      </c>
      <c r="C9" s="41">
        <v>-1.4401299999999999</v>
      </c>
      <c r="D9" s="39">
        <v>751.25</v>
      </c>
      <c r="E9" s="40">
        <v>-0.06</v>
      </c>
      <c r="F9" s="40">
        <v>0.04</v>
      </c>
    </row>
    <row r="10" spans="2:52" x14ac:dyDescent="0.2">
      <c r="B10" s="3"/>
      <c r="C10" s="41" t="str">
        <v/>
      </c>
      <c r="D10" s="39" t="str">
        <v/>
      </c>
      <c r="E10" s="40" t="str">
        <v/>
      </c>
      <c r="F10" s="40" t="str">
        <v/>
      </c>
    </row>
    <row r="11" spans="2:52" x14ac:dyDescent="0.2">
      <c r="B11" s="3"/>
      <c r="C11" s="41" t="str">
        <v/>
      </c>
      <c r="D11" s="39" t="str">
        <v/>
      </c>
      <c r="E11" s="40" t="str">
        <v/>
      </c>
      <c r="F11" s="40" t="str">
        <v/>
      </c>
    </row>
    <row r="12" spans="2:52" x14ac:dyDescent="0.2">
      <c r="B12" s="3"/>
      <c r="C12" s="41" t="str">
        <v/>
      </c>
      <c r="D12" s="39" t="str">
        <v/>
      </c>
      <c r="E12" s="40" t="str">
        <v/>
      </c>
      <c r="F12" s="40" t="str">
        <v/>
      </c>
    </row>
    <row r="13" spans="2:52" x14ac:dyDescent="0.2">
      <c r="B13" s="3"/>
      <c r="C13" s="41" t="str">
        <v/>
      </c>
      <c r="D13" s="39" t="str">
        <v/>
      </c>
      <c r="E13" s="40" t="str">
        <v/>
      </c>
      <c r="F13" s="40" t="str">
        <v/>
      </c>
    </row>
    <row r="14" spans="2:52" x14ac:dyDescent="0.2">
      <c r="B14" t="s">
        <v>104</v>
      </c>
      <c r="C14" s="42">
        <v>-1.2899999999999999E-4</v>
      </c>
      <c r="D14" s="37">
        <v>873208.75</v>
      </c>
      <c r="E14" s="43">
        <v>0.99980000000000002</v>
      </c>
      <c r="F14" s="43">
        <v>1.2999999999999999E-3</v>
      </c>
    </row>
    <row r="15" spans="2:52" x14ac:dyDescent="0.2">
      <c r="B15" t="s">
        <v>105</v>
      </c>
      <c r="C15" s="3" t="str">
        <v>Linear regression</v>
      </c>
      <c r="D15" s="3" t="str">
        <v/>
      </c>
      <c r="E15" s="3" t="str">
        <v/>
      </c>
      <c r="F15" s="3" t="str">
        <v/>
      </c>
    </row>
    <row r="17" spans="2:16" ht="14.25" x14ac:dyDescent="0.2">
      <c r="B17" s="4" t="s">
        <v>106</v>
      </c>
    </row>
    <row r="18" spans="2:16" ht="14.25" x14ac:dyDescent="0.2">
      <c r="B18" s="4" t="s">
        <v>101</v>
      </c>
      <c r="C18" s="4" t="s">
        <v>3</v>
      </c>
      <c r="D18" s="4" t="s">
        <v>4</v>
      </c>
      <c r="E18" s="4" t="s">
        <v>5</v>
      </c>
      <c r="F18" s="4" t="s">
        <v>6</v>
      </c>
      <c r="G18" s="4" t="s">
        <v>7</v>
      </c>
      <c r="H18" s="4" t="s">
        <v>8</v>
      </c>
      <c r="I18" s="4" t="s">
        <v>9</v>
      </c>
      <c r="J18" s="4" t="s">
        <v>10</v>
      </c>
      <c r="K18" s="4" t="s">
        <v>11</v>
      </c>
      <c r="L18" s="4" t="s">
        <v>12</v>
      </c>
      <c r="M18" s="4" t="s">
        <v>13</v>
      </c>
      <c r="N18" s="4" t="s">
        <v>14</v>
      </c>
      <c r="O18" s="4" t="s">
        <v>107</v>
      </c>
      <c r="P18" s="4" t="s">
        <v>108</v>
      </c>
    </row>
    <row r="19" spans="2:16" x14ac:dyDescent="0.2">
      <c r="B19" s="3" t="str" cm="1">
        <f t="array" ref="B19:B21">IFERROR(_xlfn._xlws.FILTER(Actuals!$B$7:$B$13,Actuals!$H$7:$H$13),"No Drivers Selected")</f>
        <v>Units sold</v>
      </c>
      <c r="C19" s="39" cm="1">
        <f t="array" ref="C19:P25">_xlfn._xlws.PY(1,0,Actuals!I7:AR13,Actuals!H7:H13)</f>
        <v>1576.1327197149642</v>
      </c>
      <c r="D19" s="39">
        <v>1727.3127969121138</v>
      </c>
      <c r="E19" s="39">
        <v>1978.2073931116388</v>
      </c>
      <c r="F19" s="39">
        <v>2053.2613321456847</v>
      </c>
      <c r="G19" s="39">
        <v>2128.3152711797306</v>
      </c>
      <c r="H19" s="39">
        <v>2112.2322842438634</v>
      </c>
      <c r="I19" s="39">
        <v>1832.3883115597782</v>
      </c>
      <c r="J19" s="39">
        <v>1887.0704671417259</v>
      </c>
      <c r="K19" s="39">
        <v>2077.921912114014</v>
      </c>
      <c r="L19" s="39">
        <v>2176.5642319873314</v>
      </c>
      <c r="M19" s="39">
        <v>2017.8787608867774</v>
      </c>
      <c r="N19" s="39">
        <v>1664.0530482977038</v>
      </c>
      <c r="O19" s="3" t="str">
        <v>Seasonal growth</v>
      </c>
      <c r="P19" s="44">
        <v>2.3099999999999999E-2</v>
      </c>
    </row>
    <row r="20" spans="2:16" x14ac:dyDescent="0.2">
      <c r="B20" s="3" t="str">
        <v>Average price</v>
      </c>
      <c r="C20" s="39">
        <v>1239.2836398838335</v>
      </c>
      <c r="D20" s="39">
        <v>1236.2110358180059</v>
      </c>
      <c r="E20" s="39">
        <v>1264.888673765731</v>
      </c>
      <c r="F20" s="39">
        <v>1268.9854791868345</v>
      </c>
      <c r="G20" s="39">
        <v>1266.9370764762828</v>
      </c>
      <c r="H20" s="39">
        <v>1272.0580832526623</v>
      </c>
      <c r="I20" s="39">
        <v>1267.9612778315586</v>
      </c>
      <c r="J20" s="39">
        <v>1275.1306873184899</v>
      </c>
      <c r="K20" s="39">
        <v>1266.9370764762828</v>
      </c>
      <c r="L20" s="39">
        <v>1273.0822846079382</v>
      </c>
      <c r="M20" s="39">
        <v>1270.0096805421103</v>
      </c>
      <c r="N20" s="39">
        <v>1268.9854791868345</v>
      </c>
      <c r="O20" s="3" t="str">
        <v>Seasonal growth</v>
      </c>
      <c r="P20" s="44">
        <v>3.2000000000000002E-3</v>
      </c>
    </row>
    <row r="21" spans="2:16" x14ac:dyDescent="0.2">
      <c r="B21" s="3" t="str">
        <v>Unit cost</v>
      </c>
      <c r="C21" s="39">
        <v>762.97936507936504</v>
      </c>
      <c r="D21" s="39">
        <v>764.73650793650791</v>
      </c>
      <c r="E21" s="39">
        <v>766.49365079365077</v>
      </c>
      <c r="F21" s="39">
        <v>768.25079365079364</v>
      </c>
      <c r="G21" s="39">
        <v>770.00793650793639</v>
      </c>
      <c r="H21" s="39">
        <v>771.76507936507926</v>
      </c>
      <c r="I21" s="39">
        <v>773.52222222222213</v>
      </c>
      <c r="J21" s="39">
        <v>775.27936507936499</v>
      </c>
      <c r="K21" s="39">
        <v>777.03650793650786</v>
      </c>
      <c r="L21" s="39">
        <v>778.79365079365073</v>
      </c>
      <c r="M21" s="39">
        <v>780.55079365079359</v>
      </c>
      <c r="N21" s="39">
        <v>782.30793650793646</v>
      </c>
      <c r="O21" s="3" t="str">
        <v>Linear trend</v>
      </c>
      <c r="P21" s="44">
        <v>4.4000000000000003E-3</v>
      </c>
    </row>
    <row r="22" spans="2:16" x14ac:dyDescent="0.2">
      <c r="B22" s="3"/>
      <c r="C22" s="39" t="str">
        <v/>
      </c>
      <c r="D22" s="39" t="str">
        <v/>
      </c>
      <c r="E22" s="39" t="str">
        <v/>
      </c>
      <c r="F22" s="39" t="str">
        <v/>
      </c>
      <c r="G22" s="39" t="str">
        <v/>
      </c>
      <c r="H22" s="39" t="str">
        <v/>
      </c>
      <c r="I22" s="39" t="str">
        <v/>
      </c>
      <c r="J22" s="39" t="str">
        <v/>
      </c>
      <c r="K22" s="39" t="str">
        <v/>
      </c>
      <c r="L22" s="39" t="str">
        <v/>
      </c>
      <c r="M22" s="39" t="str">
        <v/>
      </c>
      <c r="N22" s="39" t="str">
        <v/>
      </c>
      <c r="O22" s="3" t="str">
        <v/>
      </c>
      <c r="P22" s="44" t="str">
        <v/>
      </c>
    </row>
    <row r="23" spans="2:16" x14ac:dyDescent="0.2">
      <c r="B23" s="3"/>
      <c r="C23" s="39" t="str">
        <v/>
      </c>
      <c r="D23" s="39" t="str">
        <v/>
      </c>
      <c r="E23" s="39" t="str">
        <v/>
      </c>
      <c r="F23" s="39" t="str">
        <v/>
      </c>
      <c r="G23" s="39" t="str">
        <v/>
      </c>
      <c r="H23" s="39" t="str">
        <v/>
      </c>
      <c r="I23" s="39" t="str">
        <v/>
      </c>
      <c r="J23" s="39" t="str">
        <v/>
      </c>
      <c r="K23" s="39" t="str">
        <v/>
      </c>
      <c r="L23" s="39" t="str">
        <v/>
      </c>
      <c r="M23" s="39" t="str">
        <v/>
      </c>
      <c r="N23" s="39" t="str">
        <v/>
      </c>
      <c r="O23" s="3" t="str">
        <v/>
      </c>
      <c r="P23" s="44" t="str">
        <v/>
      </c>
    </row>
    <row r="24" spans="2:16" x14ac:dyDescent="0.2">
      <c r="B24" s="3"/>
      <c r="C24" s="39" t="str">
        <v/>
      </c>
      <c r="D24" s="39" t="str">
        <v/>
      </c>
      <c r="E24" s="39" t="str">
        <v/>
      </c>
      <c r="F24" s="39" t="str">
        <v/>
      </c>
      <c r="G24" s="39" t="str">
        <v/>
      </c>
      <c r="H24" s="39" t="str">
        <v/>
      </c>
      <c r="I24" s="39" t="str">
        <v/>
      </c>
      <c r="J24" s="39" t="str">
        <v/>
      </c>
      <c r="K24" s="39" t="str">
        <v/>
      </c>
      <c r="L24" s="39" t="str">
        <v/>
      </c>
      <c r="M24" s="39" t="str">
        <v/>
      </c>
      <c r="N24" s="39" t="str">
        <v/>
      </c>
      <c r="O24" s="3" t="str">
        <v/>
      </c>
      <c r="P24" s="44" t="str">
        <v/>
      </c>
    </row>
    <row r="25" spans="2:16" x14ac:dyDescent="0.2">
      <c r="B25" s="3"/>
      <c r="C25" s="39" t="str">
        <v/>
      </c>
      <c r="D25" s="39" t="str">
        <v/>
      </c>
      <c r="E25" s="39" t="str">
        <v/>
      </c>
      <c r="F25" s="39" t="str">
        <v/>
      </c>
      <c r="G25" s="39" t="str">
        <v/>
      </c>
      <c r="H25" s="39" t="str">
        <v/>
      </c>
      <c r="I25" s="39" t="str">
        <v/>
      </c>
      <c r="J25" s="39" t="str">
        <v/>
      </c>
      <c r="K25" s="39" t="str">
        <v/>
      </c>
      <c r="L25" s="39" t="str">
        <v/>
      </c>
      <c r="M25" s="39" t="str">
        <v/>
      </c>
      <c r="N25" s="39" t="str">
        <v/>
      </c>
      <c r="O25" s="3" t="str">
        <v/>
      </c>
      <c r="P25" s="44" t="str">
        <v/>
      </c>
    </row>
    <row r="27" spans="2:16" ht="14.25" x14ac:dyDescent="0.2">
      <c r="B27" s="4" t="s">
        <v>109</v>
      </c>
    </row>
    <row r="28" spans="2:16" ht="75" customHeight="1" x14ac:dyDescent="0.2">
      <c r="B28" s="55" t="s">
        <v>110</v>
      </c>
      <c r="C28" s="55"/>
      <c r="D28" s="55"/>
      <c r="E28" s="55"/>
      <c r="F28" s="55"/>
      <c r="G28" s="55"/>
      <c r="H28" s="55"/>
      <c r="I28" s="55"/>
      <c r="J28" s="55"/>
      <c r="K28" s="55"/>
      <c r="L28" s="55"/>
      <c r="M28" s="55"/>
      <c r="N28" s="55"/>
    </row>
    <row r="30" spans="2:16" ht="14.25" x14ac:dyDescent="0.2">
      <c r="B30" s="4" t="s">
        <v>111</v>
      </c>
    </row>
    <row r="31" spans="2:16" ht="60" customHeight="1" x14ac:dyDescent="0.2">
      <c r="B31" s="55" t="s">
        <v>112</v>
      </c>
      <c r="C31" s="55"/>
      <c r="D31" s="55"/>
      <c r="E31" s="55"/>
      <c r="F31" s="55"/>
      <c r="G31" s="55"/>
      <c r="H31" s="55"/>
      <c r="I31" s="55"/>
      <c r="J31" s="55"/>
      <c r="K31" s="55"/>
      <c r="L31" s="55"/>
      <c r="M31" s="55"/>
      <c r="N31" s="55"/>
    </row>
    <row r="33" spans="2:14" ht="14.25" x14ac:dyDescent="0.2">
      <c r="B33" s="4" t="s">
        <v>113</v>
      </c>
    </row>
    <row r="34" spans="2:14" ht="60" customHeight="1" x14ac:dyDescent="0.2">
      <c r="B34" s="55" t="s">
        <v>114</v>
      </c>
      <c r="C34" s="55"/>
      <c r="D34" s="55"/>
      <c r="E34" s="55"/>
      <c r="F34" s="55"/>
      <c r="G34" s="55"/>
      <c r="H34" s="55"/>
      <c r="I34" s="55"/>
      <c r="J34" s="55"/>
      <c r="K34" s="55"/>
      <c r="L34" s="55"/>
      <c r="M34" s="55"/>
      <c r="N34" s="55"/>
    </row>
    <row r="36" spans="2:14" ht="14.25" x14ac:dyDescent="0.2">
      <c r="B36" s="4" t="s">
        <v>115</v>
      </c>
    </row>
    <row r="37" spans="2:14" ht="90" customHeight="1" x14ac:dyDescent="0.2">
      <c r="B37" s="55" t="s">
        <v>116</v>
      </c>
      <c r="C37" s="55"/>
      <c r="D37" s="55"/>
      <c r="E37" s="55"/>
      <c r="F37" s="55"/>
      <c r="G37" s="55"/>
      <c r="H37" s="55"/>
      <c r="I37" s="55"/>
      <c r="J37" s="55"/>
      <c r="K37" s="55"/>
      <c r="L37" s="55"/>
      <c r="M37" s="55"/>
      <c r="N37" s="55"/>
    </row>
  </sheetData>
  <mergeCells count="4">
    <mergeCell ref="B28:N28"/>
    <mergeCell ref="B31:N31"/>
    <mergeCell ref="B34:N34"/>
    <mergeCell ref="B37:N3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167C7-60E0-4DFD-8FDD-14DAD476789D}">
  <sheetPr>
    <tabColor theme="3"/>
  </sheetPr>
  <dimension ref="A1:AE27"/>
  <sheetViews>
    <sheetView showRowColHeaders="0" zoomScaleNormal="100" workbookViewId="0"/>
  </sheetViews>
  <sheetFormatPr defaultColWidth="12.7109375" defaultRowHeight="15.95" customHeight="1" outlineLevelCol="1" x14ac:dyDescent="0.2"/>
  <cols>
    <col min="1" max="1" width="2.7109375" customWidth="1" collapsed="1"/>
    <col min="2" max="2" width="31.42578125" customWidth="1" collapsed="1"/>
    <col min="3" max="3" width="13.7109375" customWidth="1"/>
    <col min="4" max="15" width="11.7109375" hidden="1" customWidth="1" outlineLevel="1" collapsed="1"/>
    <col min="16" max="16" width="12.7109375" collapsed="1"/>
    <col min="17" max="28" width="11.7109375" customWidth="1" outlineLevel="1" collapsed="1"/>
    <col min="30" max="30" width="42.85546875" customWidth="1"/>
    <col min="31" max="31" width="2.7109375" customWidth="1" collapsed="1"/>
  </cols>
  <sheetData>
    <row r="1" spans="1:31" ht="24.95" customHeight="1" x14ac:dyDescent="0.2">
      <c r="A1" s="5"/>
      <c r="B1" s="5" t="s">
        <v>32</v>
      </c>
      <c r="C1" s="5"/>
      <c r="D1" s="5"/>
      <c r="E1" s="5"/>
      <c r="F1" s="5"/>
      <c r="G1" s="5"/>
      <c r="H1" s="5"/>
      <c r="I1" s="5"/>
      <c r="J1" s="5"/>
      <c r="K1" s="5"/>
      <c r="L1" s="5"/>
      <c r="M1" s="5"/>
      <c r="N1" s="5"/>
      <c r="O1" s="5"/>
      <c r="P1" s="5"/>
      <c r="Q1" s="5"/>
      <c r="R1" s="5"/>
      <c r="S1" s="5"/>
      <c r="T1" s="5"/>
      <c r="U1" s="5"/>
      <c r="V1" s="5"/>
      <c r="W1" s="5"/>
      <c r="X1" s="5"/>
      <c r="Y1" s="5"/>
      <c r="Z1" s="5"/>
      <c r="AA1" s="5"/>
      <c r="AB1" s="5"/>
      <c r="AC1" s="5"/>
      <c r="AD1" s="5"/>
      <c r="AE1" s="5"/>
    </row>
    <row r="2" spans="1:31" ht="24.95" customHeight="1" x14ac:dyDescent="0.2">
      <c r="A2" s="2"/>
      <c r="B2" s="21" t="str">
        <f>Actuals!$B$16</f>
        <v>Gross Margin</v>
      </c>
      <c r="C2" s="2"/>
      <c r="D2" s="2" t="s">
        <v>1</v>
      </c>
      <c r="E2" s="2" t="s">
        <v>1</v>
      </c>
      <c r="F2" s="2" t="s">
        <v>1</v>
      </c>
      <c r="G2" s="2" t="s">
        <v>1</v>
      </c>
      <c r="H2" s="2" t="s">
        <v>1</v>
      </c>
      <c r="I2" s="2" t="s">
        <v>1</v>
      </c>
      <c r="J2" s="2" t="s">
        <v>1</v>
      </c>
      <c r="K2" s="2" t="s">
        <v>1</v>
      </c>
      <c r="L2" s="2" t="s">
        <v>1</v>
      </c>
      <c r="M2" s="2" t="s">
        <v>1</v>
      </c>
      <c r="N2" s="2" t="s">
        <v>1</v>
      </c>
      <c r="O2" s="2" t="s">
        <v>1</v>
      </c>
      <c r="P2" s="10" t="s">
        <v>1</v>
      </c>
      <c r="Q2" s="2"/>
      <c r="R2" s="2"/>
      <c r="S2" s="2"/>
      <c r="T2" s="2"/>
      <c r="U2" s="2"/>
      <c r="V2" s="2"/>
      <c r="W2" s="2"/>
      <c r="X2" s="2"/>
      <c r="Y2" s="2"/>
      <c r="Z2" s="2"/>
      <c r="AA2" s="2"/>
      <c r="AB2" s="2"/>
      <c r="AC2" s="2"/>
      <c r="AD2" s="2"/>
      <c r="AE2" s="2"/>
    </row>
    <row r="3" spans="1:31" ht="20.100000000000001" customHeight="1" x14ac:dyDescent="0.2">
      <c r="A3" s="2"/>
      <c r="B3" s="21" t="s">
        <v>48</v>
      </c>
      <c r="C3" s="2"/>
      <c r="D3" s="2">
        <f>Actuals!$AU$3</f>
        <v>2026</v>
      </c>
      <c r="E3" s="2">
        <f>Actuals!$AU$3</f>
        <v>2026</v>
      </c>
      <c r="F3" s="2">
        <f>Actuals!$AU$3</f>
        <v>2026</v>
      </c>
      <c r="G3" s="2">
        <f>Actuals!$AU$3</f>
        <v>2026</v>
      </c>
      <c r="H3" s="2">
        <f>Actuals!$AU$3</f>
        <v>2026</v>
      </c>
      <c r="I3" s="2">
        <f>Actuals!$AU$3</f>
        <v>2026</v>
      </c>
      <c r="J3" s="2">
        <f>Actuals!$AU$3</f>
        <v>2026</v>
      </c>
      <c r="K3" s="2">
        <f>Actuals!$AU$3</f>
        <v>2026</v>
      </c>
      <c r="L3" s="2">
        <f>Actuals!$AU$3</f>
        <v>2026</v>
      </c>
      <c r="M3" s="2">
        <f>Actuals!$AU$3</f>
        <v>2026</v>
      </c>
      <c r="N3" s="2">
        <f>Actuals!$AU$3</f>
        <v>2026</v>
      </c>
      <c r="O3" s="2">
        <f>Actuals!$AU$3</f>
        <v>2026</v>
      </c>
      <c r="P3" s="10">
        <f>$O$3</f>
        <v>2026</v>
      </c>
      <c r="Q3" s="2">
        <f>$D$3+1</f>
        <v>2027</v>
      </c>
      <c r="R3" s="2">
        <f t="shared" ref="R3:AB3" si="0">$D$3+1</f>
        <v>2027</v>
      </c>
      <c r="S3" s="2">
        <f t="shared" si="0"/>
        <v>2027</v>
      </c>
      <c r="T3" s="2">
        <f t="shared" si="0"/>
        <v>2027</v>
      </c>
      <c r="U3" s="2">
        <f t="shared" si="0"/>
        <v>2027</v>
      </c>
      <c r="V3" s="2">
        <f t="shared" si="0"/>
        <v>2027</v>
      </c>
      <c r="W3" s="2">
        <f t="shared" si="0"/>
        <v>2027</v>
      </c>
      <c r="X3" s="2">
        <f t="shared" si="0"/>
        <v>2027</v>
      </c>
      <c r="Y3" s="2">
        <f t="shared" si="0"/>
        <v>2027</v>
      </c>
      <c r="Z3" s="2">
        <f t="shared" si="0"/>
        <v>2027</v>
      </c>
      <c r="AA3" s="2">
        <f t="shared" si="0"/>
        <v>2027</v>
      </c>
      <c r="AB3" s="2">
        <f t="shared" si="0"/>
        <v>2027</v>
      </c>
      <c r="AC3" s="10">
        <f>$AB$3</f>
        <v>2027</v>
      </c>
      <c r="AD3" s="2"/>
      <c r="AE3" s="2"/>
    </row>
    <row r="4" spans="1:31" ht="20.100000000000001" customHeight="1" x14ac:dyDescent="0.2">
      <c r="A4" s="2"/>
      <c r="B4" s="2"/>
      <c r="C4" s="2"/>
      <c r="D4" s="2" t="s">
        <v>3</v>
      </c>
      <c r="E4" s="2" t="s">
        <v>4</v>
      </c>
      <c r="F4" s="2" t="s">
        <v>5</v>
      </c>
      <c r="G4" s="2" t="s">
        <v>6</v>
      </c>
      <c r="H4" s="2" t="s">
        <v>7</v>
      </c>
      <c r="I4" s="2" t="s">
        <v>8</v>
      </c>
      <c r="J4" s="2" t="s">
        <v>9</v>
      </c>
      <c r="K4" s="2" t="s">
        <v>10</v>
      </c>
      <c r="L4" s="2" t="s">
        <v>11</v>
      </c>
      <c r="M4" s="2" t="s">
        <v>12</v>
      </c>
      <c r="N4" s="2" t="s">
        <v>13</v>
      </c>
      <c r="O4" s="2" t="s">
        <v>14</v>
      </c>
      <c r="P4" s="10" t="s">
        <v>0</v>
      </c>
      <c r="Q4" s="2" t="s">
        <v>3</v>
      </c>
      <c r="R4" s="2" t="s">
        <v>4</v>
      </c>
      <c r="S4" s="2" t="s">
        <v>5</v>
      </c>
      <c r="T4" s="2" t="s">
        <v>6</v>
      </c>
      <c r="U4" s="2" t="s">
        <v>7</v>
      </c>
      <c r="V4" s="2" t="s">
        <v>8</v>
      </c>
      <c r="W4" s="2" t="s">
        <v>9</v>
      </c>
      <c r="X4" s="2" t="s">
        <v>10</v>
      </c>
      <c r="Y4" s="2" t="s">
        <v>11</v>
      </c>
      <c r="Z4" s="2" t="s">
        <v>12</v>
      </c>
      <c r="AA4" s="2" t="s">
        <v>13</v>
      </c>
      <c r="AB4" s="2" t="s">
        <v>14</v>
      </c>
      <c r="AC4" s="10" t="s">
        <v>0</v>
      </c>
      <c r="AD4" s="10" t="s">
        <v>24</v>
      </c>
      <c r="AE4" s="2"/>
    </row>
    <row r="6" spans="1:31" ht="20.100000000000001" customHeight="1" x14ac:dyDescent="0.2">
      <c r="B6" s="4" t="s">
        <v>2</v>
      </c>
      <c r="C6" s="4"/>
      <c r="D6" s="1"/>
      <c r="E6" s="1"/>
      <c r="F6" s="1"/>
      <c r="G6" s="1"/>
      <c r="H6" s="1"/>
      <c r="I6" s="1"/>
      <c r="J6" s="1"/>
      <c r="K6" s="1"/>
      <c r="L6" s="1"/>
      <c r="M6" s="1"/>
      <c r="N6" s="1"/>
      <c r="O6" s="1"/>
      <c r="P6" s="1"/>
      <c r="Q6" s="1"/>
      <c r="R6" s="1"/>
      <c r="S6" s="1"/>
      <c r="T6" s="1"/>
      <c r="U6" s="1"/>
      <c r="V6" s="1"/>
      <c r="W6" s="1"/>
      <c r="X6" s="1"/>
      <c r="Y6" s="1"/>
      <c r="Z6" s="1"/>
      <c r="AA6" s="1"/>
      <c r="AB6" s="1"/>
      <c r="AC6" s="1"/>
      <c r="AD6" s="1"/>
    </row>
    <row r="7" spans="1:31" ht="24.95" customHeight="1" x14ac:dyDescent="0.2">
      <c r="B7" s="3" t="str" cm="1">
        <f t="array" ref="B7:B9">IFERROR(_xlfn._xlws.FILTER(Actuals!$B$7:$B$13,Actuals!$H$7:$H$13),"No Drivers Selected")</f>
        <v>Units sold</v>
      </c>
      <c r="C7" s="13"/>
      <c r="D7" s="6">
        <f>IFERROR(_xlfn.XLOOKUP($B7,Actuals!$B$7:$B$13,Actuals!AG$7:AG$13,""),"")</f>
        <v>1470</v>
      </c>
      <c r="E7" s="6">
        <f>IFERROR(_xlfn.XLOOKUP($B7,Actuals!$B$7:$B$13,Actuals!AH$7:AH$13,""),"")</f>
        <v>1611</v>
      </c>
      <c r="F7" s="6">
        <f>IFERROR(_xlfn.XLOOKUP($B7,Actuals!$B$7:$B$13,Actuals!AI$7:AI$13,""),"")</f>
        <v>1845</v>
      </c>
      <c r="G7" s="6">
        <f>IFERROR(_xlfn.XLOOKUP($B7,Actuals!$B$7:$B$13,Actuals!AJ$7:AJ$13,""),"")</f>
        <v>1915</v>
      </c>
      <c r="H7" s="6">
        <f>IFERROR(_xlfn.XLOOKUP($B7,Actuals!$B$7:$B$13,Actuals!AK$7:AK$13,""),"")</f>
        <v>1985</v>
      </c>
      <c r="I7" s="6">
        <f>IFERROR(_xlfn.XLOOKUP($B7,Actuals!$B$7:$B$13,Actuals!AL$7:AL$13,""),"")</f>
        <v>1970</v>
      </c>
      <c r="J7" s="6">
        <f>IFERROR(_xlfn.XLOOKUP($B7,Actuals!$B$7:$B$13,Actuals!AM$7:AM$13,""),"")</f>
        <v>1709</v>
      </c>
      <c r="K7" s="6">
        <f>IFERROR(_xlfn.XLOOKUP($B7,Actuals!$B$7:$B$13,Actuals!AN$7:AN$13,""),"")</f>
        <v>1760</v>
      </c>
      <c r="L7" s="6">
        <f>IFERROR(_xlfn.XLOOKUP($B7,Actuals!$B$7:$B$13,Actuals!AO$7:AO$13,""),"")</f>
        <v>1938</v>
      </c>
      <c r="M7" s="6">
        <f>IFERROR(_xlfn.XLOOKUP($B7,Actuals!$B$7:$B$13,Actuals!AP$7:AP$13,""),"")</f>
        <v>2030</v>
      </c>
      <c r="N7" s="6">
        <f>IFERROR(_xlfn.XLOOKUP($B7,Actuals!$B$7:$B$13,Actuals!AQ$7:AQ$13,""),"")</f>
        <v>1882</v>
      </c>
      <c r="O7" s="6">
        <f>IFERROR(_xlfn.XLOOKUP($B7,Actuals!$B$7:$B$13,Actuals!AR$7:AR$13,""),"")</f>
        <v>1552</v>
      </c>
      <c r="P7" s="7">
        <f>IF(_xlfn.XLOOKUP($B7,Actuals!$B$7:$B$13,Actuals!$G$7:$G$13,"")="Average",AVERAGE(D7:O7),SUM(D7:O7))</f>
        <v>21667</v>
      </c>
      <c r="Q7" s="45">
        <f>IFERROR(IF(Model!C19="","",Model!C19),"")</f>
        <v>1576.1327197149642</v>
      </c>
      <c r="R7" s="45">
        <f>IFERROR(IF(Model!D19="","",Model!D19),"")</f>
        <v>1727.3127969121138</v>
      </c>
      <c r="S7" s="45">
        <f>IFERROR(IF(Model!E19="","",Model!E19),"")</f>
        <v>1978.2073931116388</v>
      </c>
      <c r="T7" s="45">
        <f>IFERROR(IF(Model!F19="","",Model!F19),"")</f>
        <v>2053.2613321456847</v>
      </c>
      <c r="U7" s="45">
        <f>IFERROR(IF(Model!G19="","",Model!G19),"")</f>
        <v>2128.3152711797306</v>
      </c>
      <c r="V7" s="45">
        <f>IFERROR(IF(Model!H19="","",Model!H19),"")</f>
        <v>2112.2322842438634</v>
      </c>
      <c r="W7" s="45">
        <f>IFERROR(IF(Model!I19="","",Model!I19),"")</f>
        <v>1832.3883115597782</v>
      </c>
      <c r="X7" s="45">
        <f>IFERROR(IF(Model!J19="","",Model!J19),"")</f>
        <v>1887.0704671417259</v>
      </c>
      <c r="Y7" s="45">
        <f>IFERROR(IF(Model!K19="","",Model!K19),"")</f>
        <v>2077.921912114014</v>
      </c>
      <c r="Z7" s="45">
        <f>IFERROR(IF(Model!L19="","",Model!L19),"")</f>
        <v>2176.5642319873314</v>
      </c>
      <c r="AA7" s="45">
        <f>IFERROR(IF(Model!M19="","",Model!M19),"")</f>
        <v>2017.8787608867774</v>
      </c>
      <c r="AB7" s="45">
        <f>IFERROR(IF(Model!N19="","",Model!N19),"")</f>
        <v>1664.0530482977038</v>
      </c>
      <c r="AC7" s="46">
        <f>IF($B7="","",IF(_xlfn.XLOOKUP($B7,Actuals!$B$7:$B$13,Actuals!$G$7:$G$13,"")="Average",AVERAGE(Q7:AB7),SUM(Q7:AB7)))</f>
        <v>23231.338529295324</v>
      </c>
      <c r="AD7" s="12"/>
    </row>
    <row r="8" spans="1:31" ht="24.95" customHeight="1" x14ac:dyDescent="0.2">
      <c r="B8" s="3" t="str">
        <v>Average price</v>
      </c>
      <c r="C8" s="13"/>
      <c r="D8" s="6">
        <f>IFERROR(_xlfn.XLOOKUP($B8,Actuals!$B$7:$B$13,Actuals!AG$7:AG$13,""),"")</f>
        <v>1210</v>
      </c>
      <c r="E8" s="6">
        <f>IFERROR(_xlfn.XLOOKUP($B8,Actuals!$B$7:$B$13,Actuals!AH$7:AH$13,""),"")</f>
        <v>1207</v>
      </c>
      <c r="F8" s="6">
        <f>IFERROR(_xlfn.XLOOKUP($B8,Actuals!$B$7:$B$13,Actuals!AI$7:AI$13,""),"")</f>
        <v>1235</v>
      </c>
      <c r="G8" s="6">
        <f>IFERROR(_xlfn.XLOOKUP($B8,Actuals!$B$7:$B$13,Actuals!AJ$7:AJ$13,""),"")</f>
        <v>1239</v>
      </c>
      <c r="H8" s="6">
        <f>IFERROR(_xlfn.XLOOKUP($B8,Actuals!$B$7:$B$13,Actuals!AK$7:AK$13,""),"")</f>
        <v>1237</v>
      </c>
      <c r="I8" s="6">
        <f>IFERROR(_xlfn.XLOOKUP($B8,Actuals!$B$7:$B$13,Actuals!AL$7:AL$13,""),"")</f>
        <v>1242</v>
      </c>
      <c r="J8" s="6">
        <f>IFERROR(_xlfn.XLOOKUP($B8,Actuals!$B$7:$B$13,Actuals!AM$7:AM$13,""),"")</f>
        <v>1238</v>
      </c>
      <c r="K8" s="6">
        <f>IFERROR(_xlfn.XLOOKUP($B8,Actuals!$B$7:$B$13,Actuals!AN$7:AN$13,""),"")</f>
        <v>1245</v>
      </c>
      <c r="L8" s="6">
        <f>IFERROR(_xlfn.XLOOKUP($B8,Actuals!$B$7:$B$13,Actuals!AO$7:AO$13,""),"")</f>
        <v>1237</v>
      </c>
      <c r="M8" s="6">
        <f>IFERROR(_xlfn.XLOOKUP($B8,Actuals!$B$7:$B$13,Actuals!AP$7:AP$13,""),"")</f>
        <v>1243</v>
      </c>
      <c r="N8" s="6">
        <f>IFERROR(_xlfn.XLOOKUP($B8,Actuals!$B$7:$B$13,Actuals!AQ$7:AQ$13,""),"")</f>
        <v>1240</v>
      </c>
      <c r="O8" s="6">
        <f>IFERROR(_xlfn.XLOOKUP($B8,Actuals!$B$7:$B$13,Actuals!AR$7:AR$13,""),"")</f>
        <v>1239</v>
      </c>
      <c r="P8" s="7">
        <f>IF(_xlfn.XLOOKUP($B8,Actuals!$B$7:$B$13,Actuals!$G$7:$G$13,"")="Average",AVERAGE(D8:O8),SUM(D8:O8))</f>
        <v>1234.3333333333333</v>
      </c>
      <c r="Q8" s="45">
        <f>IFERROR(IF(Model!C20="","",Model!C20),"")</f>
        <v>1239.2836398838335</v>
      </c>
      <c r="R8" s="45">
        <f>IFERROR(IF(Model!D20="","",Model!D20),"")</f>
        <v>1236.2110358180059</v>
      </c>
      <c r="S8" s="45">
        <f>IFERROR(IF(Model!E20="","",Model!E20),"")</f>
        <v>1264.888673765731</v>
      </c>
      <c r="T8" s="45">
        <f>IFERROR(IF(Model!F20="","",Model!F20),"")</f>
        <v>1268.9854791868345</v>
      </c>
      <c r="U8" s="45">
        <f>IFERROR(IF(Model!G20="","",Model!G20),"")</f>
        <v>1266.9370764762828</v>
      </c>
      <c r="V8" s="45">
        <f>IFERROR(IF(Model!H20="","",Model!H20),"")</f>
        <v>1272.0580832526623</v>
      </c>
      <c r="W8" s="45">
        <f>IFERROR(IF(Model!I20="","",Model!I20),"")</f>
        <v>1267.9612778315586</v>
      </c>
      <c r="X8" s="45">
        <f>IFERROR(IF(Model!J20="","",Model!J20),"")</f>
        <v>1275.1306873184899</v>
      </c>
      <c r="Y8" s="45">
        <f>IFERROR(IF(Model!K20="","",Model!K20),"")</f>
        <v>1266.9370764762828</v>
      </c>
      <c r="Z8" s="45">
        <f>IFERROR(IF(Model!L20="","",Model!L20),"")</f>
        <v>1273.0822846079382</v>
      </c>
      <c r="AA8" s="45">
        <f>IFERROR(IF(Model!M20="","",Model!M20),"")</f>
        <v>1270.0096805421103</v>
      </c>
      <c r="AB8" s="45">
        <f>IFERROR(IF(Model!N20="","",Model!N20),"")</f>
        <v>1268.9854791868345</v>
      </c>
      <c r="AC8" s="46">
        <f>IF($B8="","",IF(_xlfn.XLOOKUP($B8,Actuals!$B$7:$B$13,Actuals!$G$7:$G$13,"")="Average",AVERAGE(Q8:AB8),SUM(Q8:AB8)))</f>
        <v>1264.2058728622137</v>
      </c>
      <c r="AD8" s="12"/>
    </row>
    <row r="9" spans="1:31" ht="24.95" customHeight="1" x14ac:dyDescent="0.2">
      <c r="B9" s="3" t="str">
        <v>Unit cost</v>
      </c>
      <c r="C9" s="13"/>
      <c r="D9" s="6">
        <f>IFERROR(_xlfn.XLOOKUP($B9,Actuals!$B$7:$B$13,Actuals!AG$7:AG$13,""),"")</f>
        <v>738</v>
      </c>
      <c r="E9" s="6">
        <f>IFERROR(_xlfn.XLOOKUP($B9,Actuals!$B$7:$B$13,Actuals!AH$7:AH$13,""),"")</f>
        <v>739</v>
      </c>
      <c r="F9" s="6">
        <f>IFERROR(_xlfn.XLOOKUP($B9,Actuals!$B$7:$B$13,Actuals!AI$7:AI$13,""),"")</f>
        <v>747</v>
      </c>
      <c r="G9" s="6">
        <f>IFERROR(_xlfn.XLOOKUP($B9,Actuals!$B$7:$B$13,Actuals!AJ$7:AJ$13,""),"")</f>
        <v>744</v>
      </c>
      <c r="H9" s="6">
        <f>IFERROR(_xlfn.XLOOKUP($B9,Actuals!$B$7:$B$13,Actuals!AK$7:AK$13,""),"")</f>
        <v>754</v>
      </c>
      <c r="I9" s="6">
        <f>IFERROR(_xlfn.XLOOKUP($B9,Actuals!$B$7:$B$13,Actuals!AL$7:AL$13,""),"")</f>
        <v>749</v>
      </c>
      <c r="J9" s="6">
        <f>IFERROR(_xlfn.XLOOKUP($B9,Actuals!$B$7:$B$13,Actuals!AM$7:AM$13,""),"")</f>
        <v>751</v>
      </c>
      <c r="K9" s="6">
        <f>IFERROR(_xlfn.XLOOKUP($B9,Actuals!$B$7:$B$13,Actuals!AN$7:AN$13,""),"")</f>
        <v>761</v>
      </c>
      <c r="L9" s="6">
        <f>IFERROR(_xlfn.XLOOKUP($B9,Actuals!$B$7:$B$13,Actuals!AO$7:AO$13,""),"")</f>
        <v>759</v>
      </c>
      <c r="M9" s="6">
        <f>IFERROR(_xlfn.XLOOKUP($B9,Actuals!$B$7:$B$13,Actuals!AP$7:AP$13,""),"")</f>
        <v>754</v>
      </c>
      <c r="N9" s="6">
        <f>IFERROR(_xlfn.XLOOKUP($B9,Actuals!$B$7:$B$13,Actuals!AQ$7:AQ$13,""),"")</f>
        <v>757</v>
      </c>
      <c r="O9" s="6">
        <f>IFERROR(_xlfn.XLOOKUP($B9,Actuals!$B$7:$B$13,Actuals!AR$7:AR$13,""),"")</f>
        <v>762</v>
      </c>
      <c r="P9" s="7">
        <f>IF(_xlfn.XLOOKUP($B9,Actuals!$B$7:$B$13,Actuals!$G$7:$G$13,"")="Average",AVERAGE(D9:O9),SUM(D9:O9))</f>
        <v>751.25</v>
      </c>
      <c r="Q9" s="45">
        <f>IFERROR(IF(Model!C21="","",Model!C21),"")</f>
        <v>762.97936507936504</v>
      </c>
      <c r="R9" s="45">
        <f>IFERROR(IF(Model!D21="","",Model!D21),"")</f>
        <v>764.73650793650791</v>
      </c>
      <c r="S9" s="45">
        <f>IFERROR(IF(Model!E21="","",Model!E21),"")</f>
        <v>766.49365079365077</v>
      </c>
      <c r="T9" s="45">
        <f>IFERROR(IF(Model!F21="","",Model!F21),"")</f>
        <v>768.25079365079364</v>
      </c>
      <c r="U9" s="45">
        <f>IFERROR(IF(Model!G21="","",Model!G21),"")</f>
        <v>770.00793650793639</v>
      </c>
      <c r="V9" s="45">
        <f>IFERROR(IF(Model!H21="","",Model!H21),"")</f>
        <v>771.76507936507926</v>
      </c>
      <c r="W9" s="45">
        <f>IFERROR(IF(Model!I21="","",Model!I21),"")</f>
        <v>773.52222222222213</v>
      </c>
      <c r="X9" s="45">
        <f>IFERROR(IF(Model!J21="","",Model!J21),"")</f>
        <v>775.27936507936499</v>
      </c>
      <c r="Y9" s="45">
        <f>IFERROR(IF(Model!K21="","",Model!K21),"")</f>
        <v>777.03650793650786</v>
      </c>
      <c r="Z9" s="45">
        <f>IFERROR(IF(Model!L21="","",Model!L21),"")</f>
        <v>778.79365079365073</v>
      </c>
      <c r="AA9" s="45">
        <f>IFERROR(IF(Model!M21="","",Model!M21),"")</f>
        <v>780.55079365079359</v>
      </c>
      <c r="AB9" s="45">
        <f>IFERROR(IF(Model!N21="","",Model!N21),"")</f>
        <v>782.30793650793646</v>
      </c>
      <c r="AC9" s="46">
        <f>IF($B9="","",IF(_xlfn.XLOOKUP($B9,Actuals!$B$7:$B$13,Actuals!$G$7:$G$13,"")="Average",AVERAGE(Q9:AB9),SUM(Q9:AB9)))</f>
        <v>772.64365079365064</v>
      </c>
      <c r="AD9" s="12"/>
    </row>
    <row r="10" spans="1:31" ht="24.95" customHeight="1" x14ac:dyDescent="0.2">
      <c r="B10" s="3"/>
      <c r="C10" s="13"/>
      <c r="D10" s="6" t="str">
        <f>IFERROR(_xlfn.XLOOKUP($B10,Actuals!$B$7:$B$13,Actuals!AG$7:AG$13,""),"")</f>
        <v/>
      </c>
      <c r="E10" s="6" t="str">
        <f>IFERROR(_xlfn.XLOOKUP($B10,Actuals!$B$7:$B$13,Actuals!AH$7:AH$13,""),"")</f>
        <v/>
      </c>
      <c r="F10" s="6" t="str">
        <f>IFERROR(_xlfn.XLOOKUP($B10,Actuals!$B$7:$B$13,Actuals!AI$7:AI$13,""),"")</f>
        <v/>
      </c>
      <c r="G10" s="6" t="str">
        <f>IFERROR(_xlfn.XLOOKUP($B10,Actuals!$B$7:$B$13,Actuals!AJ$7:AJ$13,""),"")</f>
        <v/>
      </c>
      <c r="H10" s="6" t="str">
        <f>IFERROR(_xlfn.XLOOKUP($B10,Actuals!$B$7:$B$13,Actuals!AK$7:AK$13,""),"")</f>
        <v/>
      </c>
      <c r="I10" s="6" t="str">
        <f>IFERROR(_xlfn.XLOOKUP($B10,Actuals!$B$7:$B$13,Actuals!AL$7:AL$13,""),"")</f>
        <v/>
      </c>
      <c r="J10" s="6" t="str">
        <f>IFERROR(_xlfn.XLOOKUP($B10,Actuals!$B$7:$B$13,Actuals!AM$7:AM$13,""),"")</f>
        <v/>
      </c>
      <c r="K10" s="6" t="str">
        <f>IFERROR(_xlfn.XLOOKUP($B10,Actuals!$B$7:$B$13,Actuals!AN$7:AN$13,""),"")</f>
        <v/>
      </c>
      <c r="L10" s="6" t="str">
        <f>IFERROR(_xlfn.XLOOKUP($B10,Actuals!$B$7:$B$13,Actuals!AO$7:AO$13,""),"")</f>
        <v/>
      </c>
      <c r="M10" s="6" t="str">
        <f>IFERROR(_xlfn.XLOOKUP($B10,Actuals!$B$7:$B$13,Actuals!AP$7:AP$13,""),"")</f>
        <v/>
      </c>
      <c r="N10" s="6" t="str">
        <f>IFERROR(_xlfn.XLOOKUP($B10,Actuals!$B$7:$B$13,Actuals!AQ$7:AQ$13,""),"")</f>
        <v/>
      </c>
      <c r="O10" s="6" t="str">
        <f>IFERROR(_xlfn.XLOOKUP($B10,Actuals!$B$7:$B$13,Actuals!AR$7:AR$13,""),"")</f>
        <v/>
      </c>
      <c r="P10" s="7">
        <f>IF(_xlfn.XLOOKUP($B10,Actuals!$B$7:$B$13,Actuals!$G$7:$G$13,"")="Average",AVERAGE(D10:O10),SUM(D10:O10))</f>
        <v>0</v>
      </c>
      <c r="Q10" s="39" t="str">
        <f>IFERROR(IF(Model!C22="","",Model!C22),"")</f>
        <v/>
      </c>
      <c r="R10" s="39" t="str">
        <f>IFERROR(IF(Model!D22="","",Model!D22),"")</f>
        <v/>
      </c>
      <c r="S10" s="39" t="str">
        <f>IFERROR(IF(Model!E22="","",Model!E22),"")</f>
        <v/>
      </c>
      <c r="T10" s="39" t="str">
        <f>IFERROR(IF(Model!F22="","",Model!F22),"")</f>
        <v/>
      </c>
      <c r="U10" s="39" t="str">
        <f>IFERROR(IF(Model!G22="","",Model!G22),"")</f>
        <v/>
      </c>
      <c r="V10" s="39" t="str">
        <f>IFERROR(IF(Model!H22="","",Model!H22),"")</f>
        <v/>
      </c>
      <c r="W10" s="39" t="str">
        <f>IFERROR(IF(Model!I22="","",Model!I22),"")</f>
        <v/>
      </c>
      <c r="X10" s="39" t="str">
        <f>IFERROR(IF(Model!J22="","",Model!J22),"")</f>
        <v/>
      </c>
      <c r="Y10" s="39" t="str">
        <f>IFERROR(IF(Model!K22="","",Model!K22),"")</f>
        <v/>
      </c>
      <c r="Z10" s="39" t="str">
        <f>IFERROR(IF(Model!L22="","",Model!L22),"")</f>
        <v/>
      </c>
      <c r="AA10" s="39" t="str">
        <f>IFERROR(IF(Model!M22="","",Model!M22),"")</f>
        <v/>
      </c>
      <c r="AB10" s="39" t="str">
        <f>IFERROR(IF(Model!N22="","",Model!N22),"")</f>
        <v/>
      </c>
      <c r="AC10" s="46" t="str">
        <f>IF($B10="","",IF(_xlfn.XLOOKUP($B10,Actuals!$B$7:$B$13,Actuals!$G$7:$G$13,"")="Average",AVERAGE(Q10:AB10),SUM(Q10:AB10)))</f>
        <v/>
      </c>
      <c r="AD10" s="12"/>
    </row>
    <row r="11" spans="1:31" ht="24.95" customHeight="1" x14ac:dyDescent="0.2">
      <c r="B11" s="3"/>
      <c r="C11" s="13"/>
      <c r="D11" s="6" t="str">
        <f>IFERROR(_xlfn.XLOOKUP($B11,Actuals!$B$7:$B$13,Actuals!AG$7:AG$13,""),"")</f>
        <v/>
      </c>
      <c r="E11" s="6" t="str">
        <f>IFERROR(_xlfn.XLOOKUP($B11,Actuals!$B$7:$B$13,Actuals!AH$7:AH$13,""),"")</f>
        <v/>
      </c>
      <c r="F11" s="6" t="str">
        <f>IFERROR(_xlfn.XLOOKUP($B11,Actuals!$B$7:$B$13,Actuals!AI$7:AI$13,""),"")</f>
        <v/>
      </c>
      <c r="G11" s="6" t="str">
        <f>IFERROR(_xlfn.XLOOKUP($B11,Actuals!$B$7:$B$13,Actuals!AJ$7:AJ$13,""),"")</f>
        <v/>
      </c>
      <c r="H11" s="6" t="str">
        <f>IFERROR(_xlfn.XLOOKUP($B11,Actuals!$B$7:$B$13,Actuals!AK$7:AK$13,""),"")</f>
        <v/>
      </c>
      <c r="I11" s="6" t="str">
        <f>IFERROR(_xlfn.XLOOKUP($B11,Actuals!$B$7:$B$13,Actuals!AL$7:AL$13,""),"")</f>
        <v/>
      </c>
      <c r="J11" s="6" t="str">
        <f>IFERROR(_xlfn.XLOOKUP($B11,Actuals!$B$7:$B$13,Actuals!AM$7:AM$13,""),"")</f>
        <v/>
      </c>
      <c r="K11" s="6" t="str">
        <f>IFERROR(_xlfn.XLOOKUP($B11,Actuals!$B$7:$B$13,Actuals!AN$7:AN$13,""),"")</f>
        <v/>
      </c>
      <c r="L11" s="6" t="str">
        <f>IFERROR(_xlfn.XLOOKUP($B11,Actuals!$B$7:$B$13,Actuals!AO$7:AO$13,""),"")</f>
        <v/>
      </c>
      <c r="M11" s="6" t="str">
        <f>IFERROR(_xlfn.XLOOKUP($B11,Actuals!$B$7:$B$13,Actuals!AP$7:AP$13,""),"")</f>
        <v/>
      </c>
      <c r="N11" s="6" t="str">
        <f>IFERROR(_xlfn.XLOOKUP($B11,Actuals!$B$7:$B$13,Actuals!AQ$7:AQ$13,""),"")</f>
        <v/>
      </c>
      <c r="O11" s="6" t="str">
        <f>IFERROR(_xlfn.XLOOKUP($B11,Actuals!$B$7:$B$13,Actuals!AR$7:AR$13,""),"")</f>
        <v/>
      </c>
      <c r="P11" s="7">
        <f>IF(_xlfn.XLOOKUP($B11,Actuals!$B$7:$B$13,Actuals!$G$7:$G$13,"")="Average",AVERAGE(D11:O11),SUM(D11:O11))</f>
        <v>0</v>
      </c>
      <c r="Q11" s="39" t="str">
        <f>IFERROR(IF(Model!C23="","",Model!C23),"")</f>
        <v/>
      </c>
      <c r="R11" s="39" t="str">
        <f>IFERROR(IF(Model!D23="","",Model!D23),"")</f>
        <v/>
      </c>
      <c r="S11" s="39" t="str">
        <f>IFERROR(IF(Model!E23="","",Model!E23),"")</f>
        <v/>
      </c>
      <c r="T11" s="39" t="str">
        <f>IFERROR(IF(Model!F23="","",Model!F23),"")</f>
        <v/>
      </c>
      <c r="U11" s="39" t="str">
        <f>IFERROR(IF(Model!G23="","",Model!G23),"")</f>
        <v/>
      </c>
      <c r="V11" s="39" t="str">
        <f>IFERROR(IF(Model!H23="","",Model!H23),"")</f>
        <v/>
      </c>
      <c r="W11" s="39" t="str">
        <f>IFERROR(IF(Model!I23="","",Model!I23),"")</f>
        <v/>
      </c>
      <c r="X11" s="39" t="str">
        <f>IFERROR(IF(Model!J23="","",Model!J23),"")</f>
        <v/>
      </c>
      <c r="Y11" s="39" t="str">
        <f>IFERROR(IF(Model!K23="","",Model!K23),"")</f>
        <v/>
      </c>
      <c r="Z11" s="39" t="str">
        <f>IFERROR(IF(Model!L23="","",Model!L23),"")</f>
        <v/>
      </c>
      <c r="AA11" s="39" t="str">
        <f>IFERROR(IF(Model!M23="","",Model!M23),"")</f>
        <v/>
      </c>
      <c r="AB11" s="39" t="str">
        <f>IFERROR(IF(Model!N23="","",Model!N23),"")</f>
        <v/>
      </c>
      <c r="AC11" s="46" t="str">
        <f>IF($B11="","",IF(_xlfn.XLOOKUP($B11,Actuals!$B$7:$B$13,Actuals!$G$7:$G$13,"")="Average",AVERAGE(Q11:AB11),SUM(Q11:AB11)))</f>
        <v/>
      </c>
      <c r="AD11" s="12"/>
    </row>
    <row r="12" spans="1:31" ht="24.95" customHeight="1" x14ac:dyDescent="0.2">
      <c r="B12" s="3"/>
      <c r="C12" s="13"/>
      <c r="D12" s="6" t="str">
        <f>IFERROR(_xlfn.XLOOKUP($B12,Actuals!$B$7:$B$13,Actuals!AG$7:AG$13,""),"")</f>
        <v/>
      </c>
      <c r="E12" s="6" t="str">
        <f>IFERROR(_xlfn.XLOOKUP($B12,Actuals!$B$7:$B$13,Actuals!AH$7:AH$13,""),"")</f>
        <v/>
      </c>
      <c r="F12" s="6" t="str">
        <f>IFERROR(_xlfn.XLOOKUP($B12,Actuals!$B$7:$B$13,Actuals!AI$7:AI$13,""),"")</f>
        <v/>
      </c>
      <c r="G12" s="6" t="str">
        <f>IFERROR(_xlfn.XLOOKUP($B12,Actuals!$B$7:$B$13,Actuals!AJ$7:AJ$13,""),"")</f>
        <v/>
      </c>
      <c r="H12" s="6" t="str">
        <f>IFERROR(_xlfn.XLOOKUP($B12,Actuals!$B$7:$B$13,Actuals!AK$7:AK$13,""),"")</f>
        <v/>
      </c>
      <c r="I12" s="6" t="str">
        <f>IFERROR(_xlfn.XLOOKUP($B12,Actuals!$B$7:$B$13,Actuals!AL$7:AL$13,""),"")</f>
        <v/>
      </c>
      <c r="J12" s="6" t="str">
        <f>IFERROR(_xlfn.XLOOKUP($B12,Actuals!$B$7:$B$13,Actuals!AM$7:AM$13,""),"")</f>
        <v/>
      </c>
      <c r="K12" s="6" t="str">
        <f>IFERROR(_xlfn.XLOOKUP($B12,Actuals!$B$7:$B$13,Actuals!AN$7:AN$13,""),"")</f>
        <v/>
      </c>
      <c r="L12" s="6" t="str">
        <f>IFERROR(_xlfn.XLOOKUP($B12,Actuals!$B$7:$B$13,Actuals!AO$7:AO$13,""),"")</f>
        <v/>
      </c>
      <c r="M12" s="6" t="str">
        <f>IFERROR(_xlfn.XLOOKUP($B12,Actuals!$B$7:$B$13,Actuals!AP$7:AP$13,""),"")</f>
        <v/>
      </c>
      <c r="N12" s="6" t="str">
        <f>IFERROR(_xlfn.XLOOKUP($B12,Actuals!$B$7:$B$13,Actuals!AQ$7:AQ$13,""),"")</f>
        <v/>
      </c>
      <c r="O12" s="6" t="str">
        <f>IFERROR(_xlfn.XLOOKUP($B12,Actuals!$B$7:$B$13,Actuals!AR$7:AR$13,""),"")</f>
        <v/>
      </c>
      <c r="P12" s="7">
        <f>IF(_xlfn.XLOOKUP($B12,Actuals!$B$7:$B$13,Actuals!$G$7:$G$13,"")="Average",AVERAGE(D12:O12),SUM(D12:O12))</f>
        <v>0</v>
      </c>
      <c r="Q12" s="39" t="str">
        <f>IFERROR(IF(Model!C24="","",Model!C24),"")</f>
        <v/>
      </c>
      <c r="R12" s="39" t="str">
        <f>IFERROR(IF(Model!D24="","",Model!D24),"")</f>
        <v/>
      </c>
      <c r="S12" s="39" t="str">
        <f>IFERROR(IF(Model!E24="","",Model!E24),"")</f>
        <v/>
      </c>
      <c r="T12" s="39" t="str">
        <f>IFERROR(IF(Model!F24="","",Model!F24),"")</f>
        <v/>
      </c>
      <c r="U12" s="39" t="str">
        <f>IFERROR(IF(Model!G24="","",Model!G24),"")</f>
        <v/>
      </c>
      <c r="V12" s="39" t="str">
        <f>IFERROR(IF(Model!H24="","",Model!H24),"")</f>
        <v/>
      </c>
      <c r="W12" s="39" t="str">
        <f>IFERROR(IF(Model!I24="","",Model!I24),"")</f>
        <v/>
      </c>
      <c r="X12" s="39" t="str">
        <f>IFERROR(IF(Model!J24="","",Model!J24),"")</f>
        <v/>
      </c>
      <c r="Y12" s="39" t="str">
        <f>IFERROR(IF(Model!K24="","",Model!K24),"")</f>
        <v/>
      </c>
      <c r="Z12" s="39" t="str">
        <f>IFERROR(IF(Model!L24="","",Model!L24),"")</f>
        <v/>
      </c>
      <c r="AA12" s="39" t="str">
        <f>IFERROR(IF(Model!M24="","",Model!M24),"")</f>
        <v/>
      </c>
      <c r="AB12" s="39" t="str">
        <f>IFERROR(IF(Model!N24="","",Model!N24),"")</f>
        <v/>
      </c>
      <c r="AC12" s="46" t="str">
        <f>IF($B12="","",IF(_xlfn.XLOOKUP($B12,Actuals!$B$7:$B$13,Actuals!$G$7:$G$13,"")="Average",AVERAGE(Q12:AB12),SUM(Q12:AB12)))</f>
        <v/>
      </c>
      <c r="AD12" s="12"/>
    </row>
    <row r="13" spans="1:31" ht="24.95" customHeight="1" x14ac:dyDescent="0.2">
      <c r="B13" s="3"/>
      <c r="C13" s="13"/>
      <c r="D13" s="25" t="str">
        <f>IFERROR(_xlfn.XLOOKUP($B13,Actuals!$B$7:$B$13,Actuals!AG$7:AG$13,""),"")</f>
        <v/>
      </c>
      <c r="E13" s="25" t="str">
        <f>IFERROR(_xlfn.XLOOKUP($B13,Actuals!$B$7:$B$13,Actuals!AH$7:AH$13,""),"")</f>
        <v/>
      </c>
      <c r="F13" s="25" t="str">
        <f>IFERROR(_xlfn.XLOOKUP($B13,Actuals!$B$7:$B$13,Actuals!AI$7:AI$13,""),"")</f>
        <v/>
      </c>
      <c r="G13" s="25" t="str">
        <f>IFERROR(_xlfn.XLOOKUP($B13,Actuals!$B$7:$B$13,Actuals!AJ$7:AJ$13,""),"")</f>
        <v/>
      </c>
      <c r="H13" s="25" t="str">
        <f>IFERROR(_xlfn.XLOOKUP($B13,Actuals!$B$7:$B$13,Actuals!AK$7:AK$13,""),"")</f>
        <v/>
      </c>
      <c r="I13" s="25" t="str">
        <f>IFERROR(_xlfn.XLOOKUP($B13,Actuals!$B$7:$B$13,Actuals!AL$7:AL$13,""),"")</f>
        <v/>
      </c>
      <c r="J13" s="25" t="str">
        <f>IFERROR(_xlfn.XLOOKUP($B13,Actuals!$B$7:$B$13,Actuals!AM$7:AM$13,""),"")</f>
        <v/>
      </c>
      <c r="K13" s="25" t="str">
        <f>IFERROR(_xlfn.XLOOKUP($B13,Actuals!$B$7:$B$13,Actuals!AN$7:AN$13,""),"")</f>
        <v/>
      </c>
      <c r="L13" s="25" t="str">
        <f>IFERROR(_xlfn.XLOOKUP($B13,Actuals!$B$7:$B$13,Actuals!AO$7:AO$13,""),"")</f>
        <v/>
      </c>
      <c r="M13" s="25" t="str">
        <f>IFERROR(_xlfn.XLOOKUP($B13,Actuals!$B$7:$B$13,Actuals!AP$7:AP$13,""),"")</f>
        <v/>
      </c>
      <c r="N13" s="25" t="str">
        <f>IFERROR(_xlfn.XLOOKUP($B13,Actuals!$B$7:$B$13,Actuals!AQ$7:AQ$13,""),"")</f>
        <v/>
      </c>
      <c r="O13" s="25" t="str">
        <f>IFERROR(_xlfn.XLOOKUP($B13,Actuals!$B$7:$B$13,Actuals!AR$7:AR$13,""),"")</f>
        <v/>
      </c>
      <c r="P13" s="24"/>
      <c r="Q13" s="39" t="str">
        <f>IFERROR(IF(Model!C25="","",Model!C25),"")</f>
        <v/>
      </c>
      <c r="R13" s="39" t="str">
        <f>IFERROR(IF(Model!D25="","",Model!D25),"")</f>
        <v/>
      </c>
      <c r="S13" s="39" t="str">
        <f>IFERROR(IF(Model!E25="","",Model!E25),"")</f>
        <v/>
      </c>
      <c r="T13" s="39" t="str">
        <f>IFERROR(IF(Model!F25="","",Model!F25),"")</f>
        <v/>
      </c>
      <c r="U13" s="39" t="str">
        <f>IFERROR(IF(Model!G25="","",Model!G25),"")</f>
        <v/>
      </c>
      <c r="V13" s="39" t="str">
        <f>IFERROR(IF(Model!H25="","",Model!H25),"")</f>
        <v/>
      </c>
      <c r="W13" s="39" t="str">
        <f>IFERROR(IF(Model!I25="","",Model!I25),"")</f>
        <v/>
      </c>
      <c r="X13" s="39" t="str">
        <f>IFERROR(IF(Model!J25="","",Model!J25),"")</f>
        <v/>
      </c>
      <c r="Y13" s="39" t="str">
        <f>IFERROR(IF(Model!K25="","",Model!K25),"")</f>
        <v/>
      </c>
      <c r="Z13" s="39" t="str">
        <f>IFERROR(IF(Model!L25="","",Model!L25),"")</f>
        <v/>
      </c>
      <c r="AA13" s="39" t="str">
        <f>IFERROR(IF(Model!M25="","",Model!M25),"")</f>
        <v/>
      </c>
      <c r="AB13" s="39" t="str">
        <f>IFERROR(IF(Model!N25="","",Model!N25),"")</f>
        <v/>
      </c>
      <c r="AC13" s="46" t="str">
        <f>IF($B13="","",IF(_xlfn.XLOOKUP($B13,Actuals!$B$7:$B$13,Actuals!$G$7:$G$13,"")="Average",AVERAGE(Q13:AB13),SUM(Q13:AB13)))</f>
        <v/>
      </c>
      <c r="AD13" s="12"/>
    </row>
    <row r="15" spans="1:31" ht="21.75" customHeight="1" x14ac:dyDescent="0.2">
      <c r="B15" s="4" t="s">
        <v>47</v>
      </c>
      <c r="C15" s="4"/>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1" ht="24.95" customHeight="1" x14ac:dyDescent="0.2">
      <c r="B16" s="16" t="s">
        <v>23</v>
      </c>
      <c r="C16" s="16"/>
      <c r="D16" s="6">
        <f>Actuals!AG16</f>
        <v>693840</v>
      </c>
      <c r="E16" s="6">
        <f>Actuals!AH16</f>
        <v>753948</v>
      </c>
      <c r="F16" s="6">
        <f>Actuals!AI16</f>
        <v>900360</v>
      </c>
      <c r="G16" s="6">
        <f>Actuals!AJ16</f>
        <v>947925</v>
      </c>
      <c r="H16" s="6">
        <f>Actuals!AK16</f>
        <v>958755</v>
      </c>
      <c r="I16" s="6">
        <f>Actuals!AL16</f>
        <v>971210</v>
      </c>
      <c r="J16" s="6">
        <f>Actuals!AM16</f>
        <v>832283</v>
      </c>
      <c r="K16" s="6">
        <f>Actuals!AN16</f>
        <v>851840</v>
      </c>
      <c r="L16" s="6">
        <f>Actuals!AO16</f>
        <v>926364</v>
      </c>
      <c r="M16" s="6">
        <f>Actuals!AP16</f>
        <v>992670</v>
      </c>
      <c r="N16" s="6">
        <f>Actuals!AQ16</f>
        <v>909006</v>
      </c>
      <c r="O16" s="6">
        <f>Actuals!AR16</f>
        <v>740304</v>
      </c>
      <c r="P16" s="7">
        <f t="shared" ref="P16:P21" si="1">SUM(D16:O16)</f>
        <v>10478505</v>
      </c>
      <c r="Q16" s="54" cm="1">
        <f t="array" ref="Q16">TargetBase*(1+Intercept+SUMPRODUCT(Effects,IF(DriverBase="",0,Q7:Q13/IF(DriverBase="",1,DriverBase)-1)))</f>
        <v>752955.89576937573</v>
      </c>
      <c r="R16" s="54" cm="1">
        <f t="array" ref="R16">TargetBase*(1+Intercept+SUMPRODUCT(Effects,IF(DriverBase="",0,R7:R13/IF(DriverBase="",1,DriverBase)-1)))</f>
        <v>816558.96909276571</v>
      </c>
      <c r="S16" s="54" cm="1">
        <f t="array" ref="S16">TargetBase*(1+Intercept+SUMPRODUCT(Effects,IF(DriverBase="",0,S7:S13/IF(DriverBase="",1,DriverBase)-1)))</f>
        <v>981770.86323318165</v>
      </c>
      <c r="T16" s="54" cm="1">
        <f t="array" ref="T16">TargetBase*(1+Intercept+SUMPRODUCT(Effects,IF(DriverBase="",0,T7:T13/IF(DriverBase="",1,DriverBase)-1)))</f>
        <v>1021472.9937345992</v>
      </c>
      <c r="U16" s="54" cm="1">
        <f t="array" ref="U16">TargetBase*(1+Intercept+SUMPRODUCT(Effects,IF(DriverBase="",0,U7:U13/IF(DriverBase="",1,DriverBase)-1)))</f>
        <v>1050674.201524449</v>
      </c>
      <c r="V16" s="54" cm="1">
        <f t="array" ref="V16">TargetBase*(1+Intercept+SUMPRODUCT(Effects,IF(DriverBase="",0,V7:V13/IF(DriverBase="",1,DriverBase)-1)))</f>
        <v>1048845.8993027029</v>
      </c>
      <c r="W16" s="54" cm="1">
        <f t="array" ref="W16">TargetBase*(1+Intercept+SUMPRODUCT(Effects,IF(DriverBase="",0,W7:W13/IF(DriverBase="",1,DriverBase)-1)))</f>
        <v>906007.10382451606</v>
      </c>
      <c r="X16" s="54" cm="1">
        <f t="array" ref="X16">TargetBase*(1+Intercept+SUMPRODUCT(Effects,IF(DriverBase="",0,X7:X13/IF(DriverBase="",1,DriverBase)-1)))</f>
        <v>941285.21163865796</v>
      </c>
      <c r="Y16" s="54" cm="1">
        <f t="array" ref="Y16">TargetBase*(1+Intercept+SUMPRODUCT(Effects,IF(DriverBase="",0,Y7:Y13/IF(DriverBase="",1,DriverBase)-1)))</f>
        <v>1014977.3007511729</v>
      </c>
      <c r="Z16" s="54" cm="1">
        <f t="array" ref="Z16">TargetBase*(1+Intercept+SUMPRODUCT(Effects,IF(DriverBase="",0,Z7:Z13/IF(DriverBase="",1,DriverBase)-1)))</f>
        <v>1069381.7729782348</v>
      </c>
      <c r="AA16" s="54" cm="1">
        <f t="array" ref="AA16">TargetBase*(1+Intercept+SUMPRODUCT(Effects,IF(DriverBase="",0,AA7:AA13/IF(DriverBase="",1,DriverBase)-1)))</f>
        <v>985830.85217298009</v>
      </c>
      <c r="AB16" s="54" cm="1">
        <f t="array" ref="AB16">TargetBase*(1+Intercept+SUMPRODUCT(Effects,IF(DriverBase="",0,AB7:AB13/IF(DriverBase="",1,DriverBase)-1)))</f>
        <v>813108.86547314993</v>
      </c>
      <c r="AC16" s="46">
        <f t="shared" ref="AC16:AC21" si="2">SUM(Q16:AB16)</f>
        <v>11402869.929495785</v>
      </c>
      <c r="AD16" s="12"/>
    </row>
    <row r="17" spans="2:30" ht="24.95" customHeight="1" x14ac:dyDescent="0.2">
      <c r="B17" s="17" t="str">
        <f>Actuals!$B17</f>
        <v>Product Revenue</v>
      </c>
      <c r="C17" s="13"/>
      <c r="D17" s="6">
        <f>Actuals!AG17</f>
        <v>1442729</v>
      </c>
      <c r="E17" s="6">
        <f>Actuals!AH17</f>
        <v>1594221</v>
      </c>
      <c r="F17" s="6">
        <f>Actuals!AI17</f>
        <v>1878989</v>
      </c>
      <c r="G17" s="6">
        <f>Actuals!AJ17</f>
        <v>1959269</v>
      </c>
      <c r="H17" s="6">
        <f>Actuals!AK17</f>
        <v>1996240</v>
      </c>
      <c r="I17" s="6">
        <f>Actuals!AL17</f>
        <v>2004034</v>
      </c>
      <c r="J17" s="6">
        <f>Actuals!AM17</f>
        <v>1755051</v>
      </c>
      <c r="K17" s="6">
        <f>Actuals!AN17</f>
        <v>1806842</v>
      </c>
      <c r="L17" s="6">
        <f>Actuals!AO17</f>
        <v>1961178</v>
      </c>
      <c r="M17" s="6">
        <f>Actuals!AP17</f>
        <v>2093745</v>
      </c>
      <c r="N17" s="6">
        <f>Actuals!AQ17</f>
        <v>1913586</v>
      </c>
      <c r="O17" s="6">
        <f>Actuals!AR17</f>
        <v>1568044</v>
      </c>
      <c r="P17" s="7">
        <f t="shared" si="1"/>
        <v>21973928</v>
      </c>
      <c r="Q17" s="45">
        <f t="shared" ref="Q17:AB21" si="3">IF(D$16=0,0,D17/D$16)*Q$16</f>
        <v>1565651.0240796951</v>
      </c>
      <c r="R17" s="45">
        <f t="shared" si="3"/>
        <v>1726611.7242383268</v>
      </c>
      <c r="S17" s="45">
        <f t="shared" si="3"/>
        <v>2048887.8365716522</v>
      </c>
      <c r="T17" s="45">
        <f t="shared" si="3"/>
        <v>2111285.5668553887</v>
      </c>
      <c r="U17" s="45">
        <f t="shared" si="3"/>
        <v>2187626.5240349895</v>
      </c>
      <c r="V17" s="45">
        <f t="shared" si="3"/>
        <v>2164231.055037729</v>
      </c>
      <c r="W17" s="45">
        <f t="shared" si="3"/>
        <v>1910514.4206649913</v>
      </c>
      <c r="X17" s="45">
        <f t="shared" si="3"/>
        <v>1996564.6768966189</v>
      </c>
      <c r="Y17" s="45">
        <f t="shared" si="3"/>
        <v>2148778.6148129501</v>
      </c>
      <c r="Z17" s="45">
        <f t="shared" si="3"/>
        <v>2255545.8916501096</v>
      </c>
      <c r="AA17" s="45">
        <f t="shared" si="3"/>
        <v>2075313.1630443409</v>
      </c>
      <c r="AB17" s="45">
        <f t="shared" si="3"/>
        <v>1722252.5852244212</v>
      </c>
      <c r="AC17" s="46">
        <f t="shared" si="2"/>
        <v>23913263.083111212</v>
      </c>
      <c r="AD17" s="12"/>
    </row>
    <row r="18" spans="2:30" ht="24.95" customHeight="1" x14ac:dyDescent="0.2">
      <c r="B18" s="17" t="str">
        <f>Actuals!$B18</f>
        <v>Service Revenue</v>
      </c>
      <c r="C18" s="13"/>
      <c r="D18" s="6">
        <f>Actuals!AG18</f>
        <v>335971</v>
      </c>
      <c r="E18" s="6">
        <f>Actuals!AH18</f>
        <v>350256</v>
      </c>
      <c r="F18" s="6">
        <f>Actuals!AI18</f>
        <v>399586</v>
      </c>
      <c r="G18" s="6">
        <f>Actuals!AJ18</f>
        <v>413416</v>
      </c>
      <c r="H18" s="6">
        <f>Actuals!AK18</f>
        <v>459205</v>
      </c>
      <c r="I18" s="6">
        <f>Actuals!AL18</f>
        <v>442706</v>
      </c>
      <c r="J18" s="6">
        <f>Actuals!AM18</f>
        <v>360691</v>
      </c>
      <c r="K18" s="6">
        <f>Actuals!AN18</f>
        <v>384358</v>
      </c>
      <c r="L18" s="6">
        <f>Actuals!AO18</f>
        <v>436128</v>
      </c>
      <c r="M18" s="6">
        <f>Actuals!AP18</f>
        <v>429545</v>
      </c>
      <c r="N18" s="6">
        <f>Actuals!AQ18</f>
        <v>420094</v>
      </c>
      <c r="O18" s="6">
        <f>Actuals!AR18</f>
        <v>354884</v>
      </c>
      <c r="P18" s="7">
        <f t="shared" si="1"/>
        <v>4786840</v>
      </c>
      <c r="Q18" s="45">
        <f t="shared" si="3"/>
        <v>364596.08160027227</v>
      </c>
      <c r="R18" s="45">
        <f t="shared" si="3"/>
        <v>379342.71100733173</v>
      </c>
      <c r="S18" s="45">
        <f t="shared" si="3"/>
        <v>435716.70460248581</v>
      </c>
      <c r="T18" s="45">
        <f t="shared" si="3"/>
        <v>445492.29018939583</v>
      </c>
      <c r="U18" s="45">
        <f t="shared" si="3"/>
        <v>503230.59249864105</v>
      </c>
      <c r="V18" s="45">
        <f t="shared" si="3"/>
        <v>478094.71967617958</v>
      </c>
      <c r="W18" s="45">
        <f t="shared" si="3"/>
        <v>392641.21492997999</v>
      </c>
      <c r="X18" s="45">
        <f t="shared" si="3"/>
        <v>424716.49766976346</v>
      </c>
      <c r="Y18" s="45">
        <f t="shared" si="3"/>
        <v>477846.74298872531</v>
      </c>
      <c r="Z18" s="45">
        <f t="shared" si="3"/>
        <v>462739.4740184914</v>
      </c>
      <c r="AA18" s="45">
        <f t="shared" si="3"/>
        <v>455598.34149912751</v>
      </c>
      <c r="AB18" s="45">
        <f t="shared" si="3"/>
        <v>389784.90811149654</v>
      </c>
      <c r="AC18" s="46">
        <f t="shared" si="2"/>
        <v>5209800.2787918905</v>
      </c>
      <c r="AD18" s="12"/>
    </row>
    <row r="19" spans="2:30" ht="24.95" customHeight="1" x14ac:dyDescent="0.2">
      <c r="B19" s="17" t="str">
        <f>Actuals!$B19</f>
        <v>Materials</v>
      </c>
      <c r="C19" s="13"/>
      <c r="D19" s="6">
        <f>Actuals!AG19</f>
        <v>681641</v>
      </c>
      <c r="E19" s="6">
        <f>Actuals!AH19</f>
        <v>746186</v>
      </c>
      <c r="F19" s="6">
        <f>Actuals!AI19</f>
        <v>866892</v>
      </c>
      <c r="G19" s="6">
        <f>Actuals!AJ19</f>
        <v>872142</v>
      </c>
      <c r="H19" s="6">
        <f>Actuals!AK19</f>
        <v>938267</v>
      </c>
      <c r="I19" s="6">
        <f>Actuals!AL19</f>
        <v>929563</v>
      </c>
      <c r="J19" s="6">
        <f>Actuals!AM19</f>
        <v>794552</v>
      </c>
      <c r="K19" s="6">
        <f>Actuals!AN19</f>
        <v>829842</v>
      </c>
      <c r="L19" s="6">
        <f>Actuals!AO19</f>
        <v>901585</v>
      </c>
      <c r="M19" s="6">
        <f>Actuals!AP19</f>
        <v>963060</v>
      </c>
      <c r="N19" s="6">
        <f>Actuals!AQ19</f>
        <v>878696</v>
      </c>
      <c r="O19" s="6">
        <f>Actuals!AR19</f>
        <v>739897</v>
      </c>
      <c r="P19" s="7">
        <f t="shared" si="1"/>
        <v>10142323</v>
      </c>
      <c r="Q19" s="45">
        <f t="shared" si="3"/>
        <v>739717.52817383409</v>
      </c>
      <c r="R19" s="45">
        <f t="shared" si="3"/>
        <v>808152.38041808514</v>
      </c>
      <c r="S19" s="45">
        <f t="shared" si="3"/>
        <v>945276.67507434718</v>
      </c>
      <c r="T19" s="45">
        <f t="shared" si="3"/>
        <v>939810.11124475126</v>
      </c>
      <c r="U19" s="45">
        <f t="shared" si="3"/>
        <v>1028221.9451702888</v>
      </c>
      <c r="V19" s="45">
        <f t="shared" si="3"/>
        <v>1003869.7508196151</v>
      </c>
      <c r="W19" s="45">
        <f t="shared" si="3"/>
        <v>864933.87027967267</v>
      </c>
      <c r="X19" s="45">
        <f t="shared" si="3"/>
        <v>916977.36968990334</v>
      </c>
      <c r="Y19" s="45">
        <f t="shared" si="3"/>
        <v>987828.01328392106</v>
      </c>
      <c r="Z19" s="45">
        <f t="shared" si="3"/>
        <v>1037483.5648145092</v>
      </c>
      <c r="AA19" s="45">
        <f t="shared" si="3"/>
        <v>952959.19551794918</v>
      </c>
      <c r="AB19" s="45">
        <f t="shared" si="3"/>
        <v>812661.83924034878</v>
      </c>
      <c r="AC19" s="46">
        <f t="shared" si="2"/>
        <v>11037892.243727226</v>
      </c>
      <c r="AD19" s="12"/>
    </row>
    <row r="20" spans="2:30" ht="24.95" customHeight="1" x14ac:dyDescent="0.2">
      <c r="B20" s="17" t="str">
        <f>Actuals!$B20</f>
        <v>Freight and duties</v>
      </c>
      <c r="C20" s="13"/>
      <c r="D20" s="6">
        <f>Actuals!AG20</f>
        <v>114265</v>
      </c>
      <c r="E20" s="6">
        <f>Actuals!AH20</f>
        <v>126560</v>
      </c>
      <c r="F20" s="6">
        <f>Actuals!AI20</f>
        <v>153401</v>
      </c>
      <c r="G20" s="6">
        <f>Actuals!AJ20</f>
        <v>155791</v>
      </c>
      <c r="H20" s="6">
        <f>Actuals!AK20</f>
        <v>161565</v>
      </c>
      <c r="I20" s="6">
        <f>Actuals!AL20</f>
        <v>167506</v>
      </c>
      <c r="J20" s="6">
        <f>Actuals!AM20</f>
        <v>141029</v>
      </c>
      <c r="K20" s="6">
        <f>Actuals!AN20</f>
        <v>144531</v>
      </c>
      <c r="L20" s="6">
        <f>Actuals!AO20</f>
        <v>159994</v>
      </c>
      <c r="M20" s="6">
        <f>Actuals!AP20</f>
        <v>170312</v>
      </c>
      <c r="N20" s="6">
        <f>Actuals!AQ20</f>
        <v>150861</v>
      </c>
      <c r="O20" s="6">
        <f>Actuals!AR20</f>
        <v>134433</v>
      </c>
      <c r="P20" s="7">
        <f t="shared" si="1"/>
        <v>1780248</v>
      </c>
      <c r="Q20" s="45">
        <f t="shared" si="3"/>
        <v>124000.49785265727</v>
      </c>
      <c r="R20" s="45">
        <f t="shared" si="3"/>
        <v>137070.06733671343</v>
      </c>
      <c r="S20" s="45">
        <f t="shared" si="3"/>
        <v>167271.57158340362</v>
      </c>
      <c r="T20" s="45">
        <f t="shared" si="3"/>
        <v>167878.57601277204</v>
      </c>
      <c r="U20" s="45">
        <f t="shared" si="3"/>
        <v>177054.80270694557</v>
      </c>
      <c r="V20" s="45">
        <f t="shared" si="3"/>
        <v>180895.97636824017</v>
      </c>
      <c r="W20" s="45">
        <f t="shared" si="3"/>
        <v>153521.42942396717</v>
      </c>
      <c r="X20" s="45">
        <f t="shared" si="3"/>
        <v>159707.09631309504</v>
      </c>
      <c r="Y20" s="45">
        <f t="shared" si="3"/>
        <v>175298.56326064395</v>
      </c>
      <c r="Z20" s="45">
        <f t="shared" si="3"/>
        <v>183473.4086045404</v>
      </c>
      <c r="AA20" s="45">
        <f t="shared" si="3"/>
        <v>163611.05228091779</v>
      </c>
      <c r="AB20" s="45">
        <f t="shared" si="3"/>
        <v>147653.75320429442</v>
      </c>
      <c r="AC20" s="46">
        <f t="shared" si="2"/>
        <v>1937436.7949481909</v>
      </c>
      <c r="AD20" s="12"/>
    </row>
    <row r="21" spans="2:30" ht="24.95" customHeight="1" x14ac:dyDescent="0.2">
      <c r="B21" s="17" t="str">
        <f>Actuals!$B21</f>
        <v>Direct labour</v>
      </c>
      <c r="C21" s="13"/>
      <c r="D21" s="6">
        <f>Actuals!AG21</f>
        <v>288954</v>
      </c>
      <c r="E21" s="6">
        <f>Actuals!AH21</f>
        <v>317783</v>
      </c>
      <c r="F21" s="6">
        <f>Actuals!AI21</f>
        <v>357922</v>
      </c>
      <c r="G21" s="6">
        <f>Actuals!AJ21</f>
        <v>396827</v>
      </c>
      <c r="H21" s="6">
        <f>Actuals!AK21</f>
        <v>396858</v>
      </c>
      <c r="I21" s="6">
        <f>Actuals!AL21</f>
        <v>378461</v>
      </c>
      <c r="J21" s="6">
        <f>Actuals!AM21</f>
        <v>347878</v>
      </c>
      <c r="K21" s="6">
        <f>Actuals!AN21</f>
        <v>364987</v>
      </c>
      <c r="L21" s="6">
        <f>Actuals!AO21</f>
        <v>409363</v>
      </c>
      <c r="M21" s="6">
        <f>Actuals!AP21</f>
        <v>397248</v>
      </c>
      <c r="N21" s="6">
        <f>Actuals!AQ21</f>
        <v>395117</v>
      </c>
      <c r="O21" s="6">
        <f>Actuals!AR21</f>
        <v>308294</v>
      </c>
      <c r="P21" s="7">
        <f t="shared" si="1"/>
        <v>4359692</v>
      </c>
      <c r="Q21" s="45">
        <f t="shared" si="3"/>
        <v>313573.18388410035</v>
      </c>
      <c r="R21" s="45">
        <f t="shared" si="3"/>
        <v>344173.01839809428</v>
      </c>
      <c r="S21" s="45">
        <f t="shared" si="3"/>
        <v>390285.43128320546</v>
      </c>
      <c r="T21" s="45">
        <f t="shared" si="3"/>
        <v>427616.17605266219</v>
      </c>
      <c r="U21" s="45">
        <f t="shared" si="3"/>
        <v>434906.16713194695</v>
      </c>
      <c r="V21" s="45">
        <f t="shared" si="3"/>
        <v>408714.14822335052</v>
      </c>
      <c r="W21" s="45">
        <f t="shared" si="3"/>
        <v>378693.23206681502</v>
      </c>
      <c r="X21" s="45">
        <f t="shared" si="3"/>
        <v>403311.49692472629</v>
      </c>
      <c r="Y21" s="45">
        <f t="shared" si="3"/>
        <v>448521.48050593765</v>
      </c>
      <c r="Z21" s="45">
        <f t="shared" si="3"/>
        <v>427946.61927131657</v>
      </c>
      <c r="AA21" s="45">
        <f t="shared" si="3"/>
        <v>428510.4045716215</v>
      </c>
      <c r="AB21" s="45">
        <f t="shared" si="3"/>
        <v>338613.03541812458</v>
      </c>
      <c r="AC21" s="46">
        <f t="shared" si="2"/>
        <v>4744864.3937319014</v>
      </c>
      <c r="AD21" s="12"/>
    </row>
    <row r="22" spans="2:30" ht="26.25" customHeight="1" x14ac:dyDescent="0.2"/>
    <row r="23" spans="2:30" ht="26.25" customHeight="1" x14ac:dyDescent="0.2"/>
    <row r="24" spans="2:30" ht="26.25" customHeight="1" x14ac:dyDescent="0.2"/>
    <row r="25" spans="2:30" ht="26.25" customHeight="1" x14ac:dyDescent="0.2"/>
    <row r="26" spans="2:30" ht="26.25" customHeight="1" x14ac:dyDescent="0.2"/>
    <row r="27" spans="2:30" ht="26.25" customHeight="1"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48AFF-1399-4E87-A668-93FCBFFDDD93}">
  <sheetPr>
    <tabColor theme="3"/>
  </sheetPr>
  <dimension ref="A1:AE37"/>
  <sheetViews>
    <sheetView showRowColHeaders="0" zoomScaleNormal="100" workbookViewId="0"/>
  </sheetViews>
  <sheetFormatPr defaultColWidth="12.7109375" defaultRowHeight="15.95" customHeight="1" outlineLevelCol="1" x14ac:dyDescent="0.2"/>
  <cols>
    <col min="1" max="1" width="2.7109375" customWidth="1" collapsed="1"/>
    <col min="2" max="2" width="31.42578125" customWidth="1" collapsed="1"/>
    <col min="3" max="3" width="13.7109375" customWidth="1"/>
    <col min="4" max="15" width="11.7109375" hidden="1" customWidth="1" outlineLevel="1" collapsed="1"/>
    <col min="16" max="16" width="12.7109375" collapsed="1"/>
    <col min="17" max="28" width="11.7109375" customWidth="1" outlineLevel="1" collapsed="1"/>
    <col min="30" max="30" width="42.85546875" customWidth="1"/>
    <col min="31" max="31" width="2.7109375" customWidth="1" collapsed="1"/>
  </cols>
  <sheetData>
    <row r="1" spans="1:31" ht="24.95" customHeight="1" x14ac:dyDescent="0.2">
      <c r="A1" s="5"/>
      <c r="B1" s="5" t="s">
        <v>32</v>
      </c>
      <c r="C1" s="5"/>
      <c r="D1" s="5"/>
      <c r="E1" s="5"/>
      <c r="F1" s="5"/>
      <c r="G1" s="5"/>
      <c r="H1" s="5"/>
      <c r="I1" s="5"/>
      <c r="J1" s="5"/>
      <c r="K1" s="5"/>
      <c r="L1" s="5"/>
      <c r="M1" s="5"/>
      <c r="N1" s="5"/>
      <c r="O1" s="5"/>
      <c r="P1" s="5"/>
      <c r="Q1" s="5"/>
      <c r="R1" s="5"/>
      <c r="S1" s="5"/>
      <c r="T1" s="5"/>
      <c r="U1" s="5"/>
      <c r="V1" s="5"/>
      <c r="W1" s="5"/>
      <c r="X1" s="5"/>
      <c r="Y1" s="5"/>
      <c r="Z1" s="5"/>
      <c r="AA1" s="5"/>
      <c r="AB1" s="5"/>
      <c r="AC1" s="5"/>
      <c r="AD1" s="5"/>
      <c r="AE1" s="5"/>
    </row>
    <row r="2" spans="1:31" ht="24.95" customHeight="1" x14ac:dyDescent="0.2">
      <c r="A2" s="2"/>
      <c r="B2" s="21" t="str">
        <f>C6&amp;" - top-down"</f>
        <v>Volume capped at 23,400 units, solve price and cost - top-down</v>
      </c>
      <c r="C2" s="2"/>
      <c r="D2" s="2" t="s">
        <v>1</v>
      </c>
      <c r="E2" s="2" t="s">
        <v>1</v>
      </c>
      <c r="F2" s="2" t="s">
        <v>1</v>
      </c>
      <c r="G2" s="2" t="s">
        <v>1</v>
      </c>
      <c r="H2" s="2" t="s">
        <v>1</v>
      </c>
      <c r="I2" s="2" t="s">
        <v>1</v>
      </c>
      <c r="J2" s="2" t="s">
        <v>1</v>
      </c>
      <c r="K2" s="2" t="s">
        <v>1</v>
      </c>
      <c r="L2" s="2" t="s">
        <v>1</v>
      </c>
      <c r="M2" s="2" t="s">
        <v>1</v>
      </c>
      <c r="N2" s="2" t="s">
        <v>1</v>
      </c>
      <c r="O2" s="2" t="s">
        <v>1</v>
      </c>
      <c r="P2" s="10" t="s">
        <v>1</v>
      </c>
      <c r="Q2" s="2"/>
      <c r="R2" s="2"/>
      <c r="S2" s="2"/>
      <c r="T2" s="2"/>
      <c r="U2" s="2"/>
      <c r="V2" s="2"/>
      <c r="W2" s="2"/>
      <c r="X2" s="2"/>
      <c r="Y2" s="2"/>
      <c r="Z2" s="2"/>
      <c r="AA2" s="2"/>
      <c r="AB2" s="2"/>
      <c r="AC2" s="2"/>
      <c r="AD2" s="2"/>
      <c r="AE2" s="2"/>
    </row>
    <row r="3" spans="1:31" ht="20.100000000000001" customHeight="1" x14ac:dyDescent="0.2">
      <c r="A3" s="2"/>
      <c r="B3" s="21"/>
      <c r="C3" s="2"/>
      <c r="D3" s="2">
        <f>Actuals!$AU$3</f>
        <v>2026</v>
      </c>
      <c r="E3" s="2">
        <f>Actuals!$AU$3</f>
        <v>2026</v>
      </c>
      <c r="F3" s="2">
        <f>Actuals!$AU$3</f>
        <v>2026</v>
      </c>
      <c r="G3" s="2">
        <f>Actuals!$AU$3</f>
        <v>2026</v>
      </c>
      <c r="H3" s="2">
        <f>Actuals!$AU$3</f>
        <v>2026</v>
      </c>
      <c r="I3" s="2">
        <f>Actuals!$AU$3</f>
        <v>2026</v>
      </c>
      <c r="J3" s="2">
        <f>Actuals!$AU$3</f>
        <v>2026</v>
      </c>
      <c r="K3" s="2">
        <f>Actuals!$AU$3</f>
        <v>2026</v>
      </c>
      <c r="L3" s="2">
        <f>Actuals!$AU$3</f>
        <v>2026</v>
      </c>
      <c r="M3" s="2">
        <f>Actuals!$AU$3</f>
        <v>2026</v>
      </c>
      <c r="N3" s="2">
        <f>Actuals!$AU$3</f>
        <v>2026</v>
      </c>
      <c r="O3" s="2">
        <f>Actuals!$AU$3</f>
        <v>2026</v>
      </c>
      <c r="P3" s="10">
        <f>$O$3</f>
        <v>2026</v>
      </c>
      <c r="Q3" s="2">
        <f>$D$3+1</f>
        <v>2027</v>
      </c>
      <c r="R3" s="2">
        <f t="shared" ref="R3:AB3" si="0">$D$3+1</f>
        <v>2027</v>
      </c>
      <c r="S3" s="2">
        <f t="shared" si="0"/>
        <v>2027</v>
      </c>
      <c r="T3" s="2">
        <f t="shared" si="0"/>
        <v>2027</v>
      </c>
      <c r="U3" s="2">
        <f t="shared" si="0"/>
        <v>2027</v>
      </c>
      <c r="V3" s="2">
        <f t="shared" si="0"/>
        <v>2027</v>
      </c>
      <c r="W3" s="2">
        <f t="shared" si="0"/>
        <v>2027</v>
      </c>
      <c r="X3" s="2">
        <f t="shared" si="0"/>
        <v>2027</v>
      </c>
      <c r="Y3" s="2">
        <f t="shared" si="0"/>
        <v>2027</v>
      </c>
      <c r="Z3" s="2">
        <f t="shared" si="0"/>
        <v>2027</v>
      </c>
      <c r="AA3" s="2">
        <f t="shared" si="0"/>
        <v>2027</v>
      </c>
      <c r="AB3" s="2">
        <f t="shared" si="0"/>
        <v>2027</v>
      </c>
      <c r="AC3" s="10">
        <f>$AB$3</f>
        <v>2027</v>
      </c>
      <c r="AD3" s="2"/>
      <c r="AE3" s="2"/>
    </row>
    <row r="4" spans="1:31" ht="20.100000000000001" customHeight="1" x14ac:dyDescent="0.2">
      <c r="A4" s="2"/>
      <c r="B4" s="2"/>
      <c r="C4" s="2"/>
      <c r="D4" s="2" t="s">
        <v>3</v>
      </c>
      <c r="E4" s="2" t="s">
        <v>4</v>
      </c>
      <c r="F4" s="2" t="s">
        <v>5</v>
      </c>
      <c r="G4" s="2" t="s">
        <v>6</v>
      </c>
      <c r="H4" s="2" t="s">
        <v>7</v>
      </c>
      <c r="I4" s="2" t="s">
        <v>8</v>
      </c>
      <c r="J4" s="2" t="s">
        <v>9</v>
      </c>
      <c r="K4" s="2" t="s">
        <v>10</v>
      </c>
      <c r="L4" s="2" t="s">
        <v>11</v>
      </c>
      <c r="M4" s="2" t="s">
        <v>12</v>
      </c>
      <c r="N4" s="2" t="s">
        <v>13</v>
      </c>
      <c r="O4" s="2" t="s">
        <v>14</v>
      </c>
      <c r="P4" s="10" t="s">
        <v>0</v>
      </c>
      <c r="Q4" s="2" t="s">
        <v>3</v>
      </c>
      <c r="R4" s="2" t="s">
        <v>4</v>
      </c>
      <c r="S4" s="2" t="s">
        <v>5</v>
      </c>
      <c r="T4" s="2" t="s">
        <v>6</v>
      </c>
      <c r="U4" s="2" t="s">
        <v>7</v>
      </c>
      <c r="V4" s="2" t="s">
        <v>8</v>
      </c>
      <c r="W4" s="2" t="s">
        <v>9</v>
      </c>
      <c r="X4" s="2" t="s">
        <v>10</v>
      </c>
      <c r="Y4" s="2" t="s">
        <v>11</v>
      </c>
      <c r="Z4" s="2" t="s">
        <v>12</v>
      </c>
      <c r="AA4" s="2" t="s">
        <v>13</v>
      </c>
      <c r="AB4" s="2" t="s">
        <v>14</v>
      </c>
      <c r="AC4" s="10" t="s">
        <v>0</v>
      </c>
      <c r="AD4" s="10" t="s">
        <v>24</v>
      </c>
      <c r="AE4" s="2"/>
    </row>
    <row r="6" spans="1:31" ht="15.95" hidden="1" customHeight="1" x14ac:dyDescent="0.2">
      <c r="B6" s="3" t="s">
        <v>54</v>
      </c>
      <c r="C6" s="28" t="s">
        <v>130</v>
      </c>
    </row>
    <row r="7" spans="1:31" ht="15.95" hidden="1" customHeight="1" x14ac:dyDescent="0.2">
      <c r="B7" s="3" t="s">
        <v>40</v>
      </c>
      <c r="C7" s="28" t="s">
        <v>131</v>
      </c>
    </row>
    <row r="8" spans="1:31" ht="15.95" hidden="1" customHeight="1" x14ac:dyDescent="0.2">
      <c r="B8" s="3" t="s">
        <v>55</v>
      </c>
      <c r="C8" s="23" t="s">
        <v>60</v>
      </c>
    </row>
    <row r="9" spans="1:31" ht="15.95" hidden="1" customHeight="1" x14ac:dyDescent="0.2">
      <c r="B9" s="3" t="s">
        <v>2</v>
      </c>
      <c r="C9" s="23" t="s">
        <v>61</v>
      </c>
    </row>
    <row r="10" spans="1:31" ht="15.95" hidden="1" customHeight="1" x14ac:dyDescent="0.2">
      <c r="B10" s="3" t="s">
        <v>42</v>
      </c>
      <c r="C10" s="28" t="s">
        <v>59</v>
      </c>
    </row>
    <row r="11" spans="1:31" ht="15.95" hidden="1" customHeight="1" x14ac:dyDescent="0.2">
      <c r="B11" s="3" t="s">
        <v>56</v>
      </c>
      <c r="C11" s="23" t="s">
        <v>63</v>
      </c>
    </row>
    <row r="13" spans="1:31" ht="21.75" customHeight="1" x14ac:dyDescent="0.2">
      <c r="B13" s="4" t="s">
        <v>22</v>
      </c>
      <c r="C13" s="4"/>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1" ht="24.95" customHeight="1" x14ac:dyDescent="0.2">
      <c r="B14" s="16" t="str">
        <f>Actuals!$B$16</f>
        <v>Gross Margin</v>
      </c>
      <c r="C14" s="16"/>
      <c r="D14" s="6">
        <f>Actuals!AG$16</f>
        <v>693840</v>
      </c>
      <c r="E14" s="6">
        <f>Actuals!AH$16</f>
        <v>753948</v>
      </c>
      <c r="F14" s="6">
        <f>Actuals!AI$16</f>
        <v>900360</v>
      </c>
      <c r="G14" s="6">
        <f>Actuals!AJ$16</f>
        <v>947925</v>
      </c>
      <c r="H14" s="6">
        <f>Actuals!AK$16</f>
        <v>958755</v>
      </c>
      <c r="I14" s="6">
        <f>Actuals!AL$16</f>
        <v>971210</v>
      </c>
      <c r="J14" s="6">
        <f>Actuals!AM$16</f>
        <v>832283</v>
      </c>
      <c r="K14" s="6">
        <f>Actuals!AN$16</f>
        <v>851840</v>
      </c>
      <c r="L14" s="6">
        <f>Actuals!AO$16</f>
        <v>926364</v>
      </c>
      <c r="M14" s="6">
        <f>Actuals!AP$16</f>
        <v>992670</v>
      </c>
      <c r="N14" s="6">
        <f>Actuals!AQ$16</f>
        <v>909006</v>
      </c>
      <c r="O14" s="6">
        <f>Actuals!AR$16</f>
        <v>740304</v>
      </c>
      <c r="P14" s="7">
        <f>SUM(D14:O14)</f>
        <v>10478505</v>
      </c>
      <c r="Q14" s="28">
        <f>D14*(1+Frame!$C$20)</f>
        <v>797915.99999999988</v>
      </c>
      <c r="R14" s="28">
        <f>E14*(1+Frame!$C$20)</f>
        <v>867040.2</v>
      </c>
      <c r="S14" s="28">
        <f>F14*(1+Frame!$C$20)</f>
        <v>1035413.9999999999</v>
      </c>
      <c r="T14" s="28">
        <f>G14*(1+Frame!$C$20)</f>
        <v>1090113.75</v>
      </c>
      <c r="U14" s="28">
        <f>H14*(1+Frame!$C$20)</f>
        <v>1102568.25</v>
      </c>
      <c r="V14" s="28">
        <f>I14*(1+Frame!$C$20)</f>
        <v>1116891.5</v>
      </c>
      <c r="W14" s="28">
        <f>J14*(1+Frame!$C$20)</f>
        <v>957125.45</v>
      </c>
      <c r="X14" s="28">
        <f>K14*(1+Frame!$C$20)</f>
        <v>979615.99999999988</v>
      </c>
      <c r="Y14" s="28">
        <f>L14*(1+Frame!$C$20)</f>
        <v>1065318.5999999999</v>
      </c>
      <c r="Z14" s="28">
        <f>M14*(1+Frame!$C$20)</f>
        <v>1141570.5</v>
      </c>
      <c r="AA14" s="28">
        <f>N14*(1+Frame!$C$20)</f>
        <v>1045356.8999999999</v>
      </c>
      <c r="AB14" s="28">
        <f>O14*(1+Frame!$C$20)</f>
        <v>851349.6</v>
      </c>
      <c r="AC14" s="7">
        <f t="shared" ref="AC14" si="1">SUM(Q14:AB14)</f>
        <v>12050280.75</v>
      </c>
      <c r="AD14" s="12"/>
    </row>
    <row r="16" spans="1:31" ht="20.100000000000001" customHeight="1" x14ac:dyDescent="0.2">
      <c r="B16" s="4" t="s">
        <v>2</v>
      </c>
      <c r="C16" s="4"/>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2:30" ht="24.95" customHeight="1" x14ac:dyDescent="0.2">
      <c r="B17" s="3" t="str" cm="1">
        <f t="array" ref="B17:B19">IFERROR(_xlfn._xlws.FILTER(Actuals!$B$7:$B$13,Actuals!$H$7:$H$13),"No Drivers Selected")</f>
        <v>Units sold</v>
      </c>
      <c r="C17" s="13"/>
      <c r="D17" s="6" cm="1">
        <f t="array" ref="D17:D19">_xlfn.XLOOKUP(_xlfn.ANCHORARRAY($B17),Actuals!$B$7:$B$13,Actuals!AG$7:AG$13,0)</f>
        <v>1470</v>
      </c>
      <c r="E17" s="6" cm="1">
        <f t="array" ref="E17:E19">_xlfn.XLOOKUP(_xlfn.ANCHORARRAY($B17),Actuals!$B$7:$B$13,Actuals!AH$7:AH$13,0)</f>
        <v>1611</v>
      </c>
      <c r="F17" s="6" cm="1">
        <f t="array" ref="F17:F19">_xlfn.XLOOKUP(_xlfn.ANCHORARRAY($B17),Actuals!$B$7:$B$13,Actuals!AI$7:AI$13,0)</f>
        <v>1845</v>
      </c>
      <c r="G17" s="6" cm="1">
        <f t="array" ref="G17:G19">_xlfn.XLOOKUP(_xlfn.ANCHORARRAY($B17),Actuals!$B$7:$B$13,Actuals!AJ$7:AJ$13,0)</f>
        <v>1915</v>
      </c>
      <c r="H17" s="6" cm="1">
        <f t="array" ref="H17:H19">_xlfn.XLOOKUP(_xlfn.ANCHORARRAY($B17),Actuals!$B$7:$B$13,Actuals!AK$7:AK$13,0)</f>
        <v>1985</v>
      </c>
      <c r="I17" s="6" cm="1">
        <f t="array" ref="I17:I19">_xlfn.XLOOKUP(_xlfn.ANCHORARRAY($B17),Actuals!$B$7:$B$13,Actuals!AL$7:AL$13,0)</f>
        <v>1970</v>
      </c>
      <c r="J17" s="6" cm="1">
        <f t="array" ref="J17:J19">_xlfn.XLOOKUP(_xlfn.ANCHORARRAY($B17),Actuals!$B$7:$B$13,Actuals!AM$7:AM$13,0)</f>
        <v>1709</v>
      </c>
      <c r="K17" s="6" cm="1">
        <f t="array" ref="K17:K19">_xlfn.XLOOKUP(_xlfn.ANCHORARRAY($B17),Actuals!$B$7:$B$13,Actuals!AN$7:AN$13,0)</f>
        <v>1760</v>
      </c>
      <c r="L17" s="6" cm="1">
        <f t="array" ref="L17:L19">_xlfn.XLOOKUP(_xlfn.ANCHORARRAY($B17),Actuals!$B$7:$B$13,Actuals!AO$7:AO$13,0)</f>
        <v>1938</v>
      </c>
      <c r="M17" s="6" cm="1">
        <f t="array" ref="M17:M19">_xlfn.XLOOKUP(_xlfn.ANCHORARRAY($B17),Actuals!$B$7:$B$13,Actuals!AP$7:AP$13,0)</f>
        <v>2030</v>
      </c>
      <c r="N17" s="6" cm="1">
        <f t="array" ref="N17:N19">_xlfn.XLOOKUP(_xlfn.ANCHORARRAY($B17),Actuals!$B$7:$B$13,Actuals!AQ$7:AQ$13,0)</f>
        <v>1882</v>
      </c>
      <c r="O17" s="6" cm="1">
        <f t="array" ref="O17:O19">_xlfn.XLOOKUP(_xlfn.ANCHORARRAY($B17),Actuals!$B$7:$B$13,Actuals!AR$7:AR$13,0)</f>
        <v>1552</v>
      </c>
      <c r="P17" s="7">
        <f>IF(_xlfn.XLOOKUP($B17,Actuals!$B$7:$B$13,Actuals!$G$7:$G$13,"")="Average",AVERAGE(D17:O17),SUM(D17:O17))</f>
        <v>21667</v>
      </c>
      <c r="Q17" s="8">
        <f>D17*1.08</f>
        <v>1587.6000000000001</v>
      </c>
      <c r="R17" s="8">
        <f t="shared" ref="R17:AB17" si="2">E17*1.08</f>
        <v>1739.88</v>
      </c>
      <c r="S17" s="8">
        <f t="shared" si="2"/>
        <v>1992.6000000000001</v>
      </c>
      <c r="T17" s="8">
        <f t="shared" si="2"/>
        <v>2068.2000000000003</v>
      </c>
      <c r="U17" s="8">
        <f t="shared" si="2"/>
        <v>2143.8000000000002</v>
      </c>
      <c r="V17" s="8">
        <f t="shared" si="2"/>
        <v>2127.6000000000004</v>
      </c>
      <c r="W17" s="8">
        <f t="shared" si="2"/>
        <v>1845.72</v>
      </c>
      <c r="X17" s="8">
        <f t="shared" si="2"/>
        <v>1900.8000000000002</v>
      </c>
      <c r="Y17" s="8">
        <f t="shared" si="2"/>
        <v>2093.04</v>
      </c>
      <c r="Z17" s="8">
        <f t="shared" si="2"/>
        <v>2192.4</v>
      </c>
      <c r="AA17" s="8">
        <f t="shared" si="2"/>
        <v>2032.5600000000002</v>
      </c>
      <c r="AB17" s="8">
        <f t="shared" si="2"/>
        <v>1676.16</v>
      </c>
      <c r="AC17" s="7">
        <f>IF(COUNT(Q17:AB17)=0,"",IF(_xlfn.XLOOKUP($B17,Actuals!$B$7:$B$13,Actuals!$G$7:$G$13,"")="Average",AVERAGE(Q17:AB17),SUM(Q17:AB17)))</f>
        <v>23400.360000000004</v>
      </c>
      <c r="AD17" s="12" t="s">
        <v>132</v>
      </c>
    </row>
    <row r="18" spans="2:30" ht="24.95" customHeight="1" x14ac:dyDescent="0.2">
      <c r="B18" s="3" t="str">
        <v>Average price</v>
      </c>
      <c r="C18" s="13"/>
      <c r="D18" s="6">
        <v>1210</v>
      </c>
      <c r="E18" s="6">
        <v>1207</v>
      </c>
      <c r="F18" s="6">
        <v>1235</v>
      </c>
      <c r="G18" s="6">
        <v>1239</v>
      </c>
      <c r="H18" s="6">
        <v>1237</v>
      </c>
      <c r="I18" s="6">
        <v>1242</v>
      </c>
      <c r="J18" s="6">
        <v>1238</v>
      </c>
      <c r="K18" s="6">
        <v>1245</v>
      </c>
      <c r="L18" s="6">
        <v>1237</v>
      </c>
      <c r="M18" s="6">
        <v>1243</v>
      </c>
      <c r="N18" s="6">
        <v>1240</v>
      </c>
      <c r="O18" s="6">
        <v>1239</v>
      </c>
      <c r="P18" s="7">
        <f>IF(_xlfn.XLOOKUP($B18,Actuals!$B$7:$B$13,Actuals!$G$7:$G$13,"")="Average",AVERAGE(D18:O18),SUM(D18:O18))</f>
        <v>1234.3333333333333</v>
      </c>
      <c r="Q18" s="8"/>
      <c r="R18" s="8"/>
      <c r="S18" s="8"/>
      <c r="T18" s="8"/>
      <c r="U18" s="8"/>
      <c r="V18" s="8"/>
      <c r="W18" s="8"/>
      <c r="X18" s="8"/>
      <c r="Y18" s="8"/>
      <c r="Z18" s="8"/>
      <c r="AA18" s="8"/>
      <c r="AB18" s="8"/>
      <c r="AC18" s="7" t="str">
        <f>IF(COUNT(Q18:AB18)=0,"",IF(_xlfn.XLOOKUP($B18,Actuals!$B$7:$B$13,Actuals!$G$7:$G$13,"")="Average",AVERAGE(Q18:AB18),SUM(Q18:AB18)))</f>
        <v/>
      </c>
      <c r="AD18" s="12"/>
    </row>
    <row r="19" spans="2:30" ht="24.95" customHeight="1" x14ac:dyDescent="0.2">
      <c r="B19" s="3" t="str">
        <v>Unit cost</v>
      </c>
      <c r="C19" s="13"/>
      <c r="D19" s="6">
        <v>738</v>
      </c>
      <c r="E19" s="6">
        <v>739</v>
      </c>
      <c r="F19" s="6">
        <v>747</v>
      </c>
      <c r="G19" s="6">
        <v>744</v>
      </c>
      <c r="H19" s="6">
        <v>754</v>
      </c>
      <c r="I19" s="6">
        <v>749</v>
      </c>
      <c r="J19" s="6">
        <v>751</v>
      </c>
      <c r="K19" s="6">
        <v>761</v>
      </c>
      <c r="L19" s="6">
        <v>759</v>
      </c>
      <c r="M19" s="6">
        <v>754</v>
      </c>
      <c r="N19" s="6">
        <v>757</v>
      </c>
      <c r="O19" s="6">
        <v>762</v>
      </c>
      <c r="P19" s="7">
        <f>IF(_xlfn.XLOOKUP($B19,Actuals!$B$7:$B$13,Actuals!$G$7:$G$13,"")="Average",AVERAGE(D19:O19),SUM(D19:O19))</f>
        <v>751.25</v>
      </c>
      <c r="Q19" s="8"/>
      <c r="R19" s="8"/>
      <c r="S19" s="8"/>
      <c r="T19" s="8"/>
      <c r="U19" s="8"/>
      <c r="V19" s="8"/>
      <c r="W19" s="8"/>
      <c r="X19" s="8"/>
      <c r="Y19" s="8"/>
      <c r="Z19" s="8"/>
      <c r="AA19" s="8"/>
      <c r="AB19" s="8"/>
      <c r="AC19" s="7" t="str">
        <f>IF(COUNT(Q19:AB19)=0,"",IF(_xlfn.XLOOKUP($B19,Actuals!$B$7:$B$13,Actuals!$G$7:$G$13,"")="Average",AVERAGE(Q19:AB19),SUM(Q19:AB19)))</f>
        <v/>
      </c>
      <c r="AD19" s="12"/>
    </row>
    <row r="20" spans="2:30" ht="24.95" customHeight="1" x14ac:dyDescent="0.2">
      <c r="B20" s="3"/>
      <c r="C20" s="13"/>
      <c r="D20" s="6"/>
      <c r="E20" s="6"/>
      <c r="F20" s="6"/>
      <c r="G20" s="6"/>
      <c r="H20" s="6"/>
      <c r="I20" s="6"/>
      <c r="J20" s="6"/>
      <c r="K20" s="6"/>
      <c r="L20" s="6"/>
      <c r="M20" s="6"/>
      <c r="N20" s="6"/>
      <c r="O20" s="6"/>
      <c r="P20" s="7">
        <f>IF(_xlfn.XLOOKUP($B20,Actuals!$B$7:$B$13,Actuals!$G$7:$G$13,"")="Average",AVERAGE(D20:O20),SUM(D20:O20))</f>
        <v>0</v>
      </c>
      <c r="Q20" s="8"/>
      <c r="R20" s="8"/>
      <c r="S20" s="8"/>
      <c r="T20" s="8"/>
      <c r="U20" s="8"/>
      <c r="V20" s="8"/>
      <c r="W20" s="8"/>
      <c r="X20" s="8"/>
      <c r="Y20" s="8"/>
      <c r="Z20" s="8"/>
      <c r="AA20" s="8"/>
      <c r="AB20" s="8"/>
      <c r="AC20" s="7" t="str">
        <f>IF(COUNT(Q20:AB20)=0,"",IF(_xlfn.XLOOKUP($B20,Actuals!$B$7:$B$13,Actuals!$G$7:$G$13,"")="Average",AVERAGE(Q20:AB20),SUM(Q20:AB20)))</f>
        <v/>
      </c>
      <c r="AD20" s="12"/>
    </row>
    <row r="21" spans="2:30" ht="24.95" customHeight="1" x14ac:dyDescent="0.2">
      <c r="B21" s="3"/>
      <c r="C21" s="13"/>
      <c r="D21" s="6"/>
      <c r="E21" s="6"/>
      <c r="F21" s="6"/>
      <c r="G21" s="6"/>
      <c r="H21" s="6"/>
      <c r="I21" s="6"/>
      <c r="J21" s="6"/>
      <c r="K21" s="6"/>
      <c r="L21" s="6"/>
      <c r="M21" s="6"/>
      <c r="N21" s="6"/>
      <c r="O21" s="6"/>
      <c r="P21" s="7">
        <f>IF(_xlfn.XLOOKUP($B21,Actuals!$B$7:$B$13,Actuals!$G$7:$G$13,"")="Average",AVERAGE(D21:O21),SUM(D21:O21))</f>
        <v>0</v>
      </c>
      <c r="Q21" s="8"/>
      <c r="R21" s="8"/>
      <c r="S21" s="8"/>
      <c r="T21" s="8"/>
      <c r="U21" s="8"/>
      <c r="V21" s="8"/>
      <c r="W21" s="8"/>
      <c r="X21" s="8"/>
      <c r="Y21" s="8"/>
      <c r="Z21" s="8"/>
      <c r="AA21" s="8"/>
      <c r="AB21" s="8"/>
      <c r="AC21" s="7" t="str">
        <f>IF(COUNT(Q21:AB21)=0,"",IF(_xlfn.XLOOKUP($B21,Actuals!$B$7:$B$13,Actuals!$G$7:$G$13,"")="Average",AVERAGE(Q21:AB21),SUM(Q21:AB21)))</f>
        <v/>
      </c>
      <c r="AD21" s="12"/>
    </row>
    <row r="22" spans="2:30" ht="24.95" customHeight="1" x14ac:dyDescent="0.2">
      <c r="B22" s="3"/>
      <c r="C22" s="13"/>
      <c r="D22" s="29"/>
      <c r="E22" s="29"/>
      <c r="F22" s="29"/>
      <c r="G22" s="29"/>
      <c r="H22" s="29"/>
      <c r="I22" s="29"/>
      <c r="J22" s="29"/>
      <c r="K22" s="29"/>
      <c r="L22" s="29"/>
      <c r="M22" s="29"/>
      <c r="N22" s="29"/>
      <c r="O22" s="29"/>
      <c r="P22" s="30">
        <f>IF(_xlfn.XLOOKUP($B22,Actuals!$B$7:$B$13,Actuals!$G$7:$G$13,"")="Average",AVERAGE(D22:O22),SUM(D22:O22))</f>
        <v>0</v>
      </c>
      <c r="Q22" s="8"/>
      <c r="R22" s="8"/>
      <c r="S22" s="8"/>
      <c r="T22" s="8"/>
      <c r="U22" s="8"/>
      <c r="V22" s="8"/>
      <c r="W22" s="8"/>
      <c r="X22" s="8"/>
      <c r="Y22" s="8"/>
      <c r="Z22" s="8"/>
      <c r="AA22" s="8"/>
      <c r="AB22" s="8"/>
      <c r="AC22" s="30" t="str">
        <f>IF(COUNT(Q22:AB22)=0,"",IF(_xlfn.XLOOKUP($B22,Actuals!$B$7:$B$13,Actuals!$G$7:$G$13,"")="Average",AVERAGE(Q22:AB22),SUM(Q22:AB22)))</f>
        <v/>
      </c>
      <c r="AD22" s="12"/>
    </row>
    <row r="23" spans="2:30" ht="24.95" customHeight="1" x14ac:dyDescent="0.2">
      <c r="B23" s="3"/>
      <c r="C23" s="13"/>
      <c r="D23" s="25"/>
      <c r="E23" s="25"/>
      <c r="F23" s="25"/>
      <c r="G23" s="25"/>
      <c r="H23" s="25"/>
      <c r="I23" s="25"/>
      <c r="J23" s="25"/>
      <c r="K23" s="25"/>
      <c r="L23" s="25"/>
      <c r="M23" s="25"/>
      <c r="N23" s="25"/>
      <c r="O23" s="25"/>
      <c r="P23" s="24"/>
      <c r="Q23" s="8"/>
      <c r="R23" s="8"/>
      <c r="S23" s="8"/>
      <c r="T23" s="8"/>
      <c r="U23" s="8"/>
      <c r="V23" s="8"/>
      <c r="W23" s="8"/>
      <c r="X23" s="8"/>
      <c r="Y23" s="8"/>
      <c r="Z23" s="8"/>
      <c r="AA23" s="8"/>
      <c r="AB23" s="8"/>
      <c r="AC23" s="7"/>
      <c r="AD23" s="12"/>
    </row>
    <row r="25" spans="2:30" ht="21.75" hidden="1" customHeight="1" x14ac:dyDescent="0.2">
      <c r="B25" s="4" t="s">
        <v>47</v>
      </c>
      <c r="C25" s="4"/>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2:30" ht="24.95" hidden="1" customHeight="1" x14ac:dyDescent="0.2">
      <c r="B26" s="16" t="s">
        <v>23</v>
      </c>
      <c r="C26" s="16"/>
      <c r="D26" s="6">
        <f>Actuals!AG16</f>
        <v>693840</v>
      </c>
      <c r="E26" s="6">
        <f>Actuals!AH16</f>
        <v>753948</v>
      </c>
      <c r="F26" s="6">
        <f>Actuals!AI16</f>
        <v>900360</v>
      </c>
      <c r="G26" s="6">
        <f>Actuals!AJ16</f>
        <v>947925</v>
      </c>
      <c r="H26" s="6">
        <f>Actuals!AK16</f>
        <v>958755</v>
      </c>
      <c r="I26" s="6">
        <f>Actuals!AL16</f>
        <v>971210</v>
      </c>
      <c r="J26" s="6">
        <f>Actuals!AM16</f>
        <v>832283</v>
      </c>
      <c r="K26" s="6">
        <f>Actuals!AN16</f>
        <v>851840</v>
      </c>
      <c r="L26" s="6">
        <f>Actuals!AO16</f>
        <v>926364</v>
      </c>
      <c r="M26" s="6">
        <f>Actuals!AP16</f>
        <v>992670</v>
      </c>
      <c r="N26" s="6">
        <f>Actuals!AQ16</f>
        <v>909006</v>
      </c>
      <c r="O26" s="6">
        <f>Actuals!AR16</f>
        <v>740304</v>
      </c>
      <c r="P26" s="7">
        <f t="shared" ref="P26:P31" si="3">SUM(D26:O26)</f>
        <v>10478505</v>
      </c>
      <c r="Q26" s="31"/>
      <c r="R26" s="31"/>
      <c r="S26" s="31"/>
      <c r="T26" s="31"/>
      <c r="U26" s="31"/>
      <c r="V26" s="31"/>
      <c r="W26" s="31"/>
      <c r="X26" s="31"/>
      <c r="Y26" s="31"/>
      <c r="Z26" s="31"/>
      <c r="AA26" s="31"/>
      <c r="AB26" s="31"/>
      <c r="AC26" s="7">
        <f t="shared" ref="AC26:AC31" si="4">SUM(Q26:AB26)</f>
        <v>0</v>
      </c>
      <c r="AD26" s="12"/>
    </row>
    <row r="27" spans="2:30" ht="24.95" hidden="1" customHeight="1" x14ac:dyDescent="0.2">
      <c r="B27" s="17" t="str">
        <f>Actuals!$B17</f>
        <v>Product Revenue</v>
      </c>
      <c r="C27" s="13"/>
      <c r="D27" s="6">
        <f>Actuals!AG17</f>
        <v>1442729</v>
      </c>
      <c r="E27" s="6">
        <f>Actuals!AH17</f>
        <v>1594221</v>
      </c>
      <c r="F27" s="6">
        <f>Actuals!AI17</f>
        <v>1878989</v>
      </c>
      <c r="G27" s="6">
        <f>Actuals!AJ17</f>
        <v>1959269</v>
      </c>
      <c r="H27" s="6">
        <f>Actuals!AK17</f>
        <v>1996240</v>
      </c>
      <c r="I27" s="6">
        <f>Actuals!AL17</f>
        <v>2004034</v>
      </c>
      <c r="J27" s="6">
        <f>Actuals!AM17</f>
        <v>1755051</v>
      </c>
      <c r="K27" s="6">
        <f>Actuals!AN17</f>
        <v>1806842</v>
      </c>
      <c r="L27" s="6">
        <f>Actuals!AO17</f>
        <v>1961178</v>
      </c>
      <c r="M27" s="6">
        <f>Actuals!AP17</f>
        <v>2093745</v>
      </c>
      <c r="N27" s="6">
        <f>Actuals!AQ17</f>
        <v>1913586</v>
      </c>
      <c r="O27" s="6">
        <f>Actuals!AR17</f>
        <v>1568044</v>
      </c>
      <c r="P27" s="7">
        <f t="shared" si="3"/>
        <v>21973928</v>
      </c>
      <c r="Q27" s="6">
        <f t="shared" ref="Q27:AB31" si="5">IF(D$26=0,0,D27/D$26)*Q$26</f>
        <v>0</v>
      </c>
      <c r="R27" s="6">
        <f t="shared" si="5"/>
        <v>0</v>
      </c>
      <c r="S27" s="6">
        <f t="shared" si="5"/>
        <v>0</v>
      </c>
      <c r="T27" s="6">
        <f t="shared" si="5"/>
        <v>0</v>
      </c>
      <c r="U27" s="6">
        <f t="shared" si="5"/>
        <v>0</v>
      </c>
      <c r="V27" s="6">
        <f t="shared" si="5"/>
        <v>0</v>
      </c>
      <c r="W27" s="6">
        <f t="shared" si="5"/>
        <v>0</v>
      </c>
      <c r="X27" s="6">
        <f t="shared" si="5"/>
        <v>0</v>
      </c>
      <c r="Y27" s="6">
        <f t="shared" si="5"/>
        <v>0</v>
      </c>
      <c r="Z27" s="6">
        <f t="shared" si="5"/>
        <v>0</v>
      </c>
      <c r="AA27" s="6">
        <f t="shared" si="5"/>
        <v>0</v>
      </c>
      <c r="AB27" s="6">
        <f t="shared" si="5"/>
        <v>0</v>
      </c>
      <c r="AC27" s="7">
        <f t="shared" si="4"/>
        <v>0</v>
      </c>
      <c r="AD27" s="12"/>
    </row>
    <row r="28" spans="2:30" ht="24.95" hidden="1" customHeight="1" x14ac:dyDescent="0.2">
      <c r="B28" s="17" t="str">
        <f>Actuals!$B18</f>
        <v>Service Revenue</v>
      </c>
      <c r="C28" s="13"/>
      <c r="D28" s="6">
        <f>Actuals!AG18</f>
        <v>335971</v>
      </c>
      <c r="E28" s="6">
        <f>Actuals!AH18</f>
        <v>350256</v>
      </c>
      <c r="F28" s="6">
        <f>Actuals!AI18</f>
        <v>399586</v>
      </c>
      <c r="G28" s="6">
        <f>Actuals!AJ18</f>
        <v>413416</v>
      </c>
      <c r="H28" s="6">
        <f>Actuals!AK18</f>
        <v>459205</v>
      </c>
      <c r="I28" s="6">
        <f>Actuals!AL18</f>
        <v>442706</v>
      </c>
      <c r="J28" s="6">
        <f>Actuals!AM18</f>
        <v>360691</v>
      </c>
      <c r="K28" s="6">
        <f>Actuals!AN18</f>
        <v>384358</v>
      </c>
      <c r="L28" s="6">
        <f>Actuals!AO18</f>
        <v>436128</v>
      </c>
      <c r="M28" s="6">
        <f>Actuals!AP18</f>
        <v>429545</v>
      </c>
      <c r="N28" s="6">
        <f>Actuals!AQ18</f>
        <v>420094</v>
      </c>
      <c r="O28" s="6">
        <f>Actuals!AR18</f>
        <v>354884</v>
      </c>
      <c r="P28" s="7">
        <f t="shared" si="3"/>
        <v>4786840</v>
      </c>
      <c r="Q28" s="6">
        <f t="shared" si="5"/>
        <v>0</v>
      </c>
      <c r="R28" s="6">
        <f t="shared" si="5"/>
        <v>0</v>
      </c>
      <c r="S28" s="6">
        <f t="shared" si="5"/>
        <v>0</v>
      </c>
      <c r="T28" s="6">
        <f t="shared" si="5"/>
        <v>0</v>
      </c>
      <c r="U28" s="6">
        <f t="shared" si="5"/>
        <v>0</v>
      </c>
      <c r="V28" s="6">
        <f t="shared" si="5"/>
        <v>0</v>
      </c>
      <c r="W28" s="6">
        <f t="shared" si="5"/>
        <v>0</v>
      </c>
      <c r="X28" s="6">
        <f t="shared" si="5"/>
        <v>0</v>
      </c>
      <c r="Y28" s="6">
        <f t="shared" si="5"/>
        <v>0</v>
      </c>
      <c r="Z28" s="6">
        <f t="shared" si="5"/>
        <v>0</v>
      </c>
      <c r="AA28" s="6">
        <f t="shared" si="5"/>
        <v>0</v>
      </c>
      <c r="AB28" s="6">
        <f t="shared" si="5"/>
        <v>0</v>
      </c>
      <c r="AC28" s="7">
        <f t="shared" si="4"/>
        <v>0</v>
      </c>
      <c r="AD28" s="12"/>
    </row>
    <row r="29" spans="2:30" ht="24.95" hidden="1" customHeight="1" x14ac:dyDescent="0.2">
      <c r="B29" s="17" t="str">
        <f>Actuals!$B19</f>
        <v>Materials</v>
      </c>
      <c r="C29" s="13"/>
      <c r="D29" s="6">
        <f>Actuals!AG19</f>
        <v>681641</v>
      </c>
      <c r="E29" s="6">
        <f>Actuals!AH19</f>
        <v>746186</v>
      </c>
      <c r="F29" s="6">
        <f>Actuals!AI19</f>
        <v>866892</v>
      </c>
      <c r="G29" s="6">
        <f>Actuals!AJ19</f>
        <v>872142</v>
      </c>
      <c r="H29" s="6">
        <f>Actuals!AK19</f>
        <v>938267</v>
      </c>
      <c r="I29" s="6">
        <f>Actuals!AL19</f>
        <v>929563</v>
      </c>
      <c r="J29" s="6">
        <f>Actuals!AM19</f>
        <v>794552</v>
      </c>
      <c r="K29" s="6">
        <f>Actuals!AN19</f>
        <v>829842</v>
      </c>
      <c r="L29" s="6">
        <f>Actuals!AO19</f>
        <v>901585</v>
      </c>
      <c r="M29" s="6">
        <f>Actuals!AP19</f>
        <v>963060</v>
      </c>
      <c r="N29" s="6">
        <f>Actuals!AQ19</f>
        <v>878696</v>
      </c>
      <c r="O29" s="6">
        <f>Actuals!AR19</f>
        <v>739897</v>
      </c>
      <c r="P29" s="7">
        <f t="shared" si="3"/>
        <v>10142323</v>
      </c>
      <c r="Q29" s="6">
        <f t="shared" si="5"/>
        <v>0</v>
      </c>
      <c r="R29" s="6">
        <f t="shared" si="5"/>
        <v>0</v>
      </c>
      <c r="S29" s="6">
        <f t="shared" si="5"/>
        <v>0</v>
      </c>
      <c r="T29" s="6">
        <f t="shared" si="5"/>
        <v>0</v>
      </c>
      <c r="U29" s="6">
        <f t="shared" si="5"/>
        <v>0</v>
      </c>
      <c r="V29" s="6">
        <f t="shared" si="5"/>
        <v>0</v>
      </c>
      <c r="W29" s="6">
        <f t="shared" si="5"/>
        <v>0</v>
      </c>
      <c r="X29" s="6">
        <f t="shared" si="5"/>
        <v>0</v>
      </c>
      <c r="Y29" s="6">
        <f t="shared" si="5"/>
        <v>0</v>
      </c>
      <c r="Z29" s="6">
        <f t="shared" si="5"/>
        <v>0</v>
      </c>
      <c r="AA29" s="6">
        <f t="shared" si="5"/>
        <v>0</v>
      </c>
      <c r="AB29" s="6">
        <f t="shared" si="5"/>
        <v>0</v>
      </c>
      <c r="AC29" s="7">
        <f t="shared" si="4"/>
        <v>0</v>
      </c>
      <c r="AD29" s="12"/>
    </row>
    <row r="30" spans="2:30" ht="24.95" hidden="1" customHeight="1" x14ac:dyDescent="0.2">
      <c r="B30" s="17" t="str">
        <f>Actuals!$B20</f>
        <v>Freight and duties</v>
      </c>
      <c r="C30" s="13"/>
      <c r="D30" s="6">
        <f>Actuals!AG20</f>
        <v>114265</v>
      </c>
      <c r="E30" s="6">
        <f>Actuals!AH20</f>
        <v>126560</v>
      </c>
      <c r="F30" s="6">
        <f>Actuals!AI20</f>
        <v>153401</v>
      </c>
      <c r="G30" s="6">
        <f>Actuals!AJ20</f>
        <v>155791</v>
      </c>
      <c r="H30" s="6">
        <f>Actuals!AK20</f>
        <v>161565</v>
      </c>
      <c r="I30" s="6">
        <f>Actuals!AL20</f>
        <v>167506</v>
      </c>
      <c r="J30" s="6">
        <f>Actuals!AM20</f>
        <v>141029</v>
      </c>
      <c r="K30" s="6">
        <f>Actuals!AN20</f>
        <v>144531</v>
      </c>
      <c r="L30" s="6">
        <f>Actuals!AO20</f>
        <v>159994</v>
      </c>
      <c r="M30" s="6">
        <f>Actuals!AP20</f>
        <v>170312</v>
      </c>
      <c r="N30" s="6">
        <f>Actuals!AQ20</f>
        <v>150861</v>
      </c>
      <c r="O30" s="6">
        <f>Actuals!AR20</f>
        <v>134433</v>
      </c>
      <c r="P30" s="7">
        <f t="shared" si="3"/>
        <v>1780248</v>
      </c>
      <c r="Q30" s="6">
        <f t="shared" si="5"/>
        <v>0</v>
      </c>
      <c r="R30" s="6">
        <f t="shared" si="5"/>
        <v>0</v>
      </c>
      <c r="S30" s="6">
        <f t="shared" si="5"/>
        <v>0</v>
      </c>
      <c r="T30" s="6">
        <f t="shared" si="5"/>
        <v>0</v>
      </c>
      <c r="U30" s="6">
        <f t="shared" si="5"/>
        <v>0</v>
      </c>
      <c r="V30" s="6">
        <f t="shared" si="5"/>
        <v>0</v>
      </c>
      <c r="W30" s="6">
        <f t="shared" si="5"/>
        <v>0</v>
      </c>
      <c r="X30" s="6">
        <f t="shared" si="5"/>
        <v>0</v>
      </c>
      <c r="Y30" s="6">
        <f t="shared" si="5"/>
        <v>0</v>
      </c>
      <c r="Z30" s="6">
        <f t="shared" si="5"/>
        <v>0</v>
      </c>
      <c r="AA30" s="6">
        <f t="shared" si="5"/>
        <v>0</v>
      </c>
      <c r="AB30" s="6">
        <f t="shared" si="5"/>
        <v>0</v>
      </c>
      <c r="AC30" s="7">
        <f t="shared" si="4"/>
        <v>0</v>
      </c>
      <c r="AD30" s="12"/>
    </row>
    <row r="31" spans="2:30" ht="24.95" hidden="1" customHeight="1" x14ac:dyDescent="0.2">
      <c r="B31" s="17" t="str">
        <f>Actuals!$B21</f>
        <v>Direct labour</v>
      </c>
      <c r="C31" s="13"/>
      <c r="D31" s="6">
        <f>Actuals!AG21</f>
        <v>288954</v>
      </c>
      <c r="E31" s="6">
        <f>Actuals!AH21</f>
        <v>317783</v>
      </c>
      <c r="F31" s="6">
        <f>Actuals!AI21</f>
        <v>357922</v>
      </c>
      <c r="G31" s="6">
        <f>Actuals!AJ21</f>
        <v>396827</v>
      </c>
      <c r="H31" s="6">
        <f>Actuals!AK21</f>
        <v>396858</v>
      </c>
      <c r="I31" s="6">
        <f>Actuals!AL21</f>
        <v>378461</v>
      </c>
      <c r="J31" s="6">
        <f>Actuals!AM21</f>
        <v>347878</v>
      </c>
      <c r="K31" s="6">
        <f>Actuals!AN21</f>
        <v>364987</v>
      </c>
      <c r="L31" s="6">
        <f>Actuals!AO21</f>
        <v>409363</v>
      </c>
      <c r="M31" s="6">
        <f>Actuals!AP21</f>
        <v>397248</v>
      </c>
      <c r="N31" s="6">
        <f>Actuals!AQ21</f>
        <v>395117</v>
      </c>
      <c r="O31" s="6">
        <f>Actuals!AR21</f>
        <v>308294</v>
      </c>
      <c r="P31" s="7">
        <f t="shared" si="3"/>
        <v>4359692</v>
      </c>
      <c r="Q31" s="6">
        <f t="shared" si="5"/>
        <v>0</v>
      </c>
      <c r="R31" s="6">
        <f t="shared" si="5"/>
        <v>0</v>
      </c>
      <c r="S31" s="6">
        <f t="shared" si="5"/>
        <v>0</v>
      </c>
      <c r="T31" s="6">
        <f t="shared" si="5"/>
        <v>0</v>
      </c>
      <c r="U31" s="6">
        <f t="shared" si="5"/>
        <v>0</v>
      </c>
      <c r="V31" s="6">
        <f t="shared" si="5"/>
        <v>0</v>
      </c>
      <c r="W31" s="6">
        <f t="shared" si="5"/>
        <v>0</v>
      </c>
      <c r="X31" s="6">
        <f t="shared" si="5"/>
        <v>0</v>
      </c>
      <c r="Y31" s="6">
        <f t="shared" si="5"/>
        <v>0</v>
      </c>
      <c r="Z31" s="6">
        <f t="shared" si="5"/>
        <v>0</v>
      </c>
      <c r="AA31" s="6">
        <f t="shared" si="5"/>
        <v>0</v>
      </c>
      <c r="AB31" s="6">
        <f t="shared" si="5"/>
        <v>0</v>
      </c>
      <c r="AC31" s="7">
        <f t="shared" si="4"/>
        <v>0</v>
      </c>
      <c r="AD31" s="12"/>
    </row>
    <row r="32" spans="2:30" ht="26.25" customHeight="1" x14ac:dyDescent="0.2"/>
    <row r="33" ht="26.25" customHeight="1" x14ac:dyDescent="0.2"/>
    <row r="34" ht="26.25" customHeight="1" x14ac:dyDescent="0.2"/>
    <row r="35" ht="26.25" customHeight="1" x14ac:dyDescent="0.2"/>
    <row r="36" ht="26.25" customHeight="1" x14ac:dyDescent="0.2"/>
    <row r="37" ht="26.25" customHeight="1"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A0941-7332-4120-8254-EF207D289FB3}">
  <sheetPr>
    <tabColor theme="3" tint="0.39997558519241921"/>
  </sheetPr>
  <dimension ref="A1:AE37"/>
  <sheetViews>
    <sheetView showRowColHeaders="0" zoomScaleNormal="100" workbookViewId="0"/>
  </sheetViews>
  <sheetFormatPr defaultColWidth="12.7109375" defaultRowHeight="15.95" customHeight="1" outlineLevelCol="1" x14ac:dyDescent="0.2"/>
  <cols>
    <col min="1" max="1" width="2.7109375" customWidth="1" collapsed="1"/>
    <col min="2" max="2" width="31.42578125" customWidth="1" collapsed="1"/>
    <col min="3" max="3" width="13.7109375" customWidth="1"/>
    <col min="4" max="15" width="11.7109375" hidden="1" customWidth="1" outlineLevel="1" collapsed="1"/>
    <col min="16" max="16" width="12.7109375" collapsed="1"/>
    <col min="17" max="28" width="11.7109375" customWidth="1" outlineLevel="1" collapsed="1"/>
    <col min="30" max="30" width="42.85546875" customWidth="1"/>
    <col min="31" max="31" width="2.7109375" customWidth="1" collapsed="1"/>
    <col min="32" max="32" width="0" hidden="1" customWidth="1"/>
    <col min="34" max="47" width="0" hidden="1" customWidth="1"/>
  </cols>
  <sheetData>
    <row r="1" spans="1:31" ht="24.95" customHeight="1" x14ac:dyDescent="0.2">
      <c r="A1" s="5"/>
      <c r="B1" s="5" t="s">
        <v>32</v>
      </c>
      <c r="C1" s="5"/>
      <c r="D1" s="5"/>
      <c r="E1" s="5"/>
      <c r="F1" s="5"/>
      <c r="G1" s="5"/>
      <c r="H1" s="5"/>
      <c r="I1" s="5"/>
      <c r="J1" s="5"/>
      <c r="K1" s="5"/>
      <c r="L1" s="5"/>
      <c r="M1" s="5"/>
      <c r="N1" s="5"/>
      <c r="O1" s="5"/>
      <c r="P1" s="5"/>
      <c r="Q1" s="5"/>
      <c r="R1" s="5"/>
      <c r="S1" s="5"/>
      <c r="T1" s="5"/>
      <c r="U1" s="5"/>
      <c r="V1" s="5"/>
      <c r="W1" s="5"/>
      <c r="X1" s="5"/>
      <c r="Y1" s="5"/>
      <c r="Z1" s="5"/>
      <c r="AA1" s="5"/>
      <c r="AB1" s="5"/>
      <c r="AC1" s="5"/>
      <c r="AD1" s="5"/>
      <c r="AE1" s="5"/>
    </row>
    <row r="2" spans="1:31" ht="24.95" customHeight="1" x14ac:dyDescent="0.2">
      <c r="A2" s="2"/>
      <c r="B2" s="21" t="str">
        <f>C6&amp;" - top-down"</f>
        <v>15% on last year, same seasonality - top-down</v>
      </c>
      <c r="C2" s="2"/>
      <c r="D2" s="2" t="s">
        <v>1</v>
      </c>
      <c r="E2" s="2" t="s">
        <v>1</v>
      </c>
      <c r="F2" s="2" t="s">
        <v>1</v>
      </c>
      <c r="G2" s="2" t="s">
        <v>1</v>
      </c>
      <c r="H2" s="2" t="s">
        <v>1</v>
      </c>
      <c r="I2" s="2" t="s">
        <v>1</v>
      </c>
      <c r="J2" s="2" t="s">
        <v>1</v>
      </c>
      <c r="K2" s="2" t="s">
        <v>1</v>
      </c>
      <c r="L2" s="2" t="s">
        <v>1</v>
      </c>
      <c r="M2" s="2" t="s">
        <v>1</v>
      </c>
      <c r="N2" s="2" t="s">
        <v>1</v>
      </c>
      <c r="O2" s="2" t="s">
        <v>1</v>
      </c>
      <c r="P2" s="10" t="s">
        <v>1</v>
      </c>
      <c r="Q2" s="2"/>
      <c r="R2" s="2"/>
      <c r="S2" s="2"/>
      <c r="T2" s="2"/>
      <c r="U2" s="2"/>
      <c r="V2" s="2"/>
      <c r="W2" s="2"/>
      <c r="X2" s="2"/>
      <c r="Y2" s="2"/>
      <c r="Z2" s="2"/>
      <c r="AA2" s="2"/>
      <c r="AB2" s="2"/>
      <c r="AC2" s="2"/>
      <c r="AD2" s="2"/>
      <c r="AE2" s="2"/>
    </row>
    <row r="3" spans="1:31" ht="20.100000000000001" customHeight="1" x14ac:dyDescent="0.2">
      <c r="A3" s="2"/>
      <c r="B3" s="21"/>
      <c r="C3" s="2"/>
      <c r="D3" s="2">
        <f>Actuals!$AU$3</f>
        <v>2026</v>
      </c>
      <c r="E3" s="2">
        <f>Actuals!$AU$3</f>
        <v>2026</v>
      </c>
      <c r="F3" s="2">
        <f>Actuals!$AU$3</f>
        <v>2026</v>
      </c>
      <c r="G3" s="2">
        <f>Actuals!$AU$3</f>
        <v>2026</v>
      </c>
      <c r="H3" s="2">
        <f>Actuals!$AU$3</f>
        <v>2026</v>
      </c>
      <c r="I3" s="2">
        <f>Actuals!$AU$3</f>
        <v>2026</v>
      </c>
      <c r="J3" s="2">
        <f>Actuals!$AU$3</f>
        <v>2026</v>
      </c>
      <c r="K3" s="2">
        <f>Actuals!$AU$3</f>
        <v>2026</v>
      </c>
      <c r="L3" s="2">
        <f>Actuals!$AU$3</f>
        <v>2026</v>
      </c>
      <c r="M3" s="2">
        <f>Actuals!$AU$3</f>
        <v>2026</v>
      </c>
      <c r="N3" s="2">
        <f>Actuals!$AU$3</f>
        <v>2026</v>
      </c>
      <c r="O3" s="2">
        <f>Actuals!$AU$3</f>
        <v>2026</v>
      </c>
      <c r="P3" s="10">
        <f>$O$3</f>
        <v>2026</v>
      </c>
      <c r="Q3" s="2">
        <f>$D$3+1</f>
        <v>2027</v>
      </c>
      <c r="R3" s="2">
        <f t="shared" ref="R3:AB3" si="0">$D$3+1</f>
        <v>2027</v>
      </c>
      <c r="S3" s="2">
        <f t="shared" si="0"/>
        <v>2027</v>
      </c>
      <c r="T3" s="2">
        <f t="shared" si="0"/>
        <v>2027</v>
      </c>
      <c r="U3" s="2">
        <f t="shared" si="0"/>
        <v>2027</v>
      </c>
      <c r="V3" s="2">
        <f t="shared" si="0"/>
        <v>2027</v>
      </c>
      <c r="W3" s="2">
        <f t="shared" si="0"/>
        <v>2027</v>
      </c>
      <c r="X3" s="2">
        <f t="shared" si="0"/>
        <v>2027</v>
      </c>
      <c r="Y3" s="2">
        <f t="shared" si="0"/>
        <v>2027</v>
      </c>
      <c r="Z3" s="2">
        <f t="shared" si="0"/>
        <v>2027</v>
      </c>
      <c r="AA3" s="2">
        <f t="shared" si="0"/>
        <v>2027</v>
      </c>
      <c r="AB3" s="2">
        <f t="shared" si="0"/>
        <v>2027</v>
      </c>
      <c r="AC3" s="10">
        <f>$AB$3</f>
        <v>2027</v>
      </c>
      <c r="AD3" s="2"/>
      <c r="AE3" s="2"/>
    </row>
    <row r="4" spans="1:31" ht="20.100000000000001" customHeight="1" x14ac:dyDescent="0.2">
      <c r="A4" s="2"/>
      <c r="B4" s="2"/>
      <c r="C4" s="2"/>
      <c r="D4" s="2" t="s">
        <v>3</v>
      </c>
      <c r="E4" s="2" t="s">
        <v>4</v>
      </c>
      <c r="F4" s="2" t="s">
        <v>5</v>
      </c>
      <c r="G4" s="2" t="s">
        <v>6</v>
      </c>
      <c r="H4" s="2" t="s">
        <v>7</v>
      </c>
      <c r="I4" s="2" t="s">
        <v>8</v>
      </c>
      <c r="J4" s="2" t="s">
        <v>9</v>
      </c>
      <c r="K4" s="2" t="s">
        <v>10</v>
      </c>
      <c r="L4" s="2" t="s">
        <v>11</v>
      </c>
      <c r="M4" s="2" t="s">
        <v>12</v>
      </c>
      <c r="N4" s="2" t="s">
        <v>13</v>
      </c>
      <c r="O4" s="2" t="s">
        <v>14</v>
      </c>
      <c r="P4" s="10" t="s">
        <v>0</v>
      </c>
      <c r="Q4" s="2" t="s">
        <v>3</v>
      </c>
      <c r="R4" s="2" t="s">
        <v>4</v>
      </c>
      <c r="S4" s="2" t="s">
        <v>5</v>
      </c>
      <c r="T4" s="2" t="s">
        <v>6</v>
      </c>
      <c r="U4" s="2" t="s">
        <v>7</v>
      </c>
      <c r="V4" s="2" t="s">
        <v>8</v>
      </c>
      <c r="W4" s="2" t="s">
        <v>9</v>
      </c>
      <c r="X4" s="2" t="s">
        <v>10</v>
      </c>
      <c r="Y4" s="2" t="s">
        <v>11</v>
      </c>
      <c r="Z4" s="2" t="s">
        <v>12</v>
      </c>
      <c r="AA4" s="2" t="s">
        <v>13</v>
      </c>
      <c r="AB4" s="2" t="s">
        <v>14</v>
      </c>
      <c r="AC4" s="10" t="s">
        <v>0</v>
      </c>
      <c r="AD4" s="10" t="s">
        <v>24</v>
      </c>
      <c r="AE4" s="2"/>
    </row>
    <row r="6" spans="1:31" ht="15.95" hidden="1" customHeight="1" x14ac:dyDescent="0.2">
      <c r="B6" s="3" t="s">
        <v>54</v>
      </c>
      <c r="C6" s="28" t="s">
        <v>57</v>
      </c>
    </row>
    <row r="7" spans="1:31" ht="15.95" hidden="1" customHeight="1" x14ac:dyDescent="0.2">
      <c r="B7" s="3" t="s">
        <v>40</v>
      </c>
      <c r="C7" s="28" t="s">
        <v>58</v>
      </c>
    </row>
    <row r="8" spans="1:31" ht="15.95" hidden="1" customHeight="1" x14ac:dyDescent="0.2">
      <c r="B8" s="3" t="s">
        <v>55</v>
      </c>
      <c r="C8" s="23" t="s">
        <v>60</v>
      </c>
    </row>
    <row r="9" spans="1:31" ht="15.95" hidden="1" customHeight="1" x14ac:dyDescent="0.2">
      <c r="B9" s="3" t="s">
        <v>2</v>
      </c>
      <c r="C9" s="23" t="s">
        <v>61</v>
      </c>
    </row>
    <row r="10" spans="1:31" ht="15.95" hidden="1" customHeight="1" x14ac:dyDescent="0.2">
      <c r="B10" s="3" t="s">
        <v>42</v>
      </c>
      <c r="C10" s="28" t="s">
        <v>59</v>
      </c>
    </row>
    <row r="11" spans="1:31" ht="15.95" hidden="1" customHeight="1" x14ac:dyDescent="0.2">
      <c r="B11" s="3" t="s">
        <v>56</v>
      </c>
      <c r="C11" s="23" t="s">
        <v>63</v>
      </c>
    </row>
    <row r="13" spans="1:31" ht="21.75" customHeight="1" x14ac:dyDescent="0.2">
      <c r="B13" s="4" t="s">
        <v>22</v>
      </c>
      <c r="C13" s="4"/>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1" ht="24.95" customHeight="1" x14ac:dyDescent="0.2">
      <c r="B14" s="16" t="str">
        <f>Actuals!$B$16</f>
        <v>Gross Margin</v>
      </c>
      <c r="C14" s="16"/>
      <c r="D14" s="6">
        <f>Actuals!AG$16</f>
        <v>693840</v>
      </c>
      <c r="E14" s="6">
        <f>Actuals!AH$16</f>
        <v>753948</v>
      </c>
      <c r="F14" s="6">
        <f>Actuals!AI$16</f>
        <v>900360</v>
      </c>
      <c r="G14" s="6">
        <f>Actuals!AJ$16</f>
        <v>947925</v>
      </c>
      <c r="H14" s="6">
        <f>Actuals!AK$16</f>
        <v>958755</v>
      </c>
      <c r="I14" s="6">
        <f>Actuals!AL$16</f>
        <v>971210</v>
      </c>
      <c r="J14" s="6">
        <f>Actuals!AM$16</f>
        <v>832283</v>
      </c>
      <c r="K14" s="6">
        <f>Actuals!AN$16</f>
        <v>851840</v>
      </c>
      <c r="L14" s="6">
        <f>Actuals!AO$16</f>
        <v>926364</v>
      </c>
      <c r="M14" s="6">
        <f>Actuals!AP$16</f>
        <v>992670</v>
      </c>
      <c r="N14" s="6">
        <f>Actuals!AQ$16</f>
        <v>909006</v>
      </c>
      <c r="O14" s="6">
        <f>Actuals!AR$16</f>
        <v>740304</v>
      </c>
      <c r="P14" s="7">
        <f>SUM(D14:O14)</f>
        <v>10478505</v>
      </c>
      <c r="Q14" s="28">
        <f>D14*(1+Frame!$C$20)</f>
        <v>797915.99999999988</v>
      </c>
      <c r="R14" s="28">
        <f>E14*(1+Frame!$C$20)</f>
        <v>867040.2</v>
      </c>
      <c r="S14" s="28">
        <f>F14*(1+Frame!$C$20)</f>
        <v>1035413.9999999999</v>
      </c>
      <c r="T14" s="28">
        <f>G14*(1+Frame!$C$20)</f>
        <v>1090113.75</v>
      </c>
      <c r="U14" s="28">
        <f>H14*(1+Frame!$C$20)</f>
        <v>1102568.25</v>
      </c>
      <c r="V14" s="28">
        <f>I14*(1+Frame!$C$20)</f>
        <v>1116891.5</v>
      </c>
      <c r="W14" s="28">
        <f>J14*(1+Frame!$C$20)</f>
        <v>957125.45</v>
      </c>
      <c r="X14" s="28">
        <f>K14*(1+Frame!$C$20)</f>
        <v>979615.99999999988</v>
      </c>
      <c r="Y14" s="28">
        <f>L14*(1+Frame!$C$20)</f>
        <v>1065318.5999999999</v>
      </c>
      <c r="Z14" s="28">
        <f>M14*(1+Frame!$C$20)</f>
        <v>1141570.5</v>
      </c>
      <c r="AA14" s="28">
        <f>N14*(1+Frame!$C$20)</f>
        <v>1045356.8999999999</v>
      </c>
      <c r="AB14" s="28">
        <f>O14*(1+Frame!$C$20)</f>
        <v>851349.6</v>
      </c>
      <c r="AC14" s="7">
        <f t="shared" ref="AC14" si="1">SUM(Q14:AB14)</f>
        <v>12050280.75</v>
      </c>
      <c r="AD14" s="12"/>
    </row>
    <row r="16" spans="1:31" ht="20.100000000000001" customHeight="1" x14ac:dyDescent="0.2">
      <c r="B16" s="4" t="s">
        <v>2</v>
      </c>
      <c r="C16" s="4"/>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2:30" ht="24.95" customHeight="1" x14ac:dyDescent="0.2">
      <c r="B17" s="3" t="str" cm="1">
        <f t="array" ref="B17:B19">IFERROR(_xlfn._xlws.FILTER(Actuals!$B$7:$B$13,Actuals!$H$7:$H$13),"No Drivers Selected")</f>
        <v>Units sold</v>
      </c>
      <c r="C17" s="13"/>
      <c r="D17" s="6" cm="1">
        <f t="array" ref="D17:D19">_xlfn.XLOOKUP(_xlfn.ANCHORARRAY($B17),Actuals!$B$7:$B$13,Actuals!AG$7:AG$13,0)</f>
        <v>1470</v>
      </c>
      <c r="E17" s="6" cm="1">
        <f t="array" ref="E17:E19">_xlfn.XLOOKUP(_xlfn.ANCHORARRAY($B17),Actuals!$B$7:$B$13,Actuals!AH$7:AH$13,0)</f>
        <v>1611</v>
      </c>
      <c r="F17" s="6" cm="1">
        <f t="array" ref="F17:F19">_xlfn.XLOOKUP(_xlfn.ANCHORARRAY($B17),Actuals!$B$7:$B$13,Actuals!AI$7:AI$13,0)</f>
        <v>1845</v>
      </c>
      <c r="G17" s="6" cm="1">
        <f t="array" ref="G17:G19">_xlfn.XLOOKUP(_xlfn.ANCHORARRAY($B17),Actuals!$B$7:$B$13,Actuals!AJ$7:AJ$13,0)</f>
        <v>1915</v>
      </c>
      <c r="H17" s="6" cm="1">
        <f t="array" ref="H17:H19">_xlfn.XLOOKUP(_xlfn.ANCHORARRAY($B17),Actuals!$B$7:$B$13,Actuals!AK$7:AK$13,0)</f>
        <v>1985</v>
      </c>
      <c r="I17" s="6" cm="1">
        <f t="array" ref="I17:I19">_xlfn.XLOOKUP(_xlfn.ANCHORARRAY($B17),Actuals!$B$7:$B$13,Actuals!AL$7:AL$13,0)</f>
        <v>1970</v>
      </c>
      <c r="J17" s="6" cm="1">
        <f t="array" ref="J17:J19">_xlfn.XLOOKUP(_xlfn.ANCHORARRAY($B17),Actuals!$B$7:$B$13,Actuals!AM$7:AM$13,0)</f>
        <v>1709</v>
      </c>
      <c r="K17" s="6" cm="1">
        <f t="array" ref="K17:K19">_xlfn.XLOOKUP(_xlfn.ANCHORARRAY($B17),Actuals!$B$7:$B$13,Actuals!AN$7:AN$13,0)</f>
        <v>1760</v>
      </c>
      <c r="L17" s="6" cm="1">
        <f t="array" ref="L17:L19">_xlfn.XLOOKUP(_xlfn.ANCHORARRAY($B17),Actuals!$B$7:$B$13,Actuals!AO$7:AO$13,0)</f>
        <v>1938</v>
      </c>
      <c r="M17" s="6" cm="1">
        <f t="array" ref="M17:M19">_xlfn.XLOOKUP(_xlfn.ANCHORARRAY($B17),Actuals!$B$7:$B$13,Actuals!AP$7:AP$13,0)</f>
        <v>2030</v>
      </c>
      <c r="N17" s="6" cm="1">
        <f t="array" ref="N17:N19">_xlfn.XLOOKUP(_xlfn.ANCHORARRAY($B17),Actuals!$B$7:$B$13,Actuals!AQ$7:AQ$13,0)</f>
        <v>1882</v>
      </c>
      <c r="O17" s="6" cm="1">
        <f t="array" ref="O17:O19">_xlfn.XLOOKUP(_xlfn.ANCHORARRAY($B17),Actuals!$B$7:$B$13,Actuals!AR$7:AR$13,0)</f>
        <v>1552</v>
      </c>
      <c r="P17" s="7">
        <f>IF(_xlfn.XLOOKUP($B17,Actuals!$B$7:$B$13,Actuals!$G$7:$G$13,"")="Average",AVERAGE(D17:O17),SUM(D17:O17))</f>
        <v>21667</v>
      </c>
      <c r="Q17" s="45">
        <v>1587.0137601189001</v>
      </c>
      <c r="R17" s="45">
        <v>1739.2375289466299</v>
      </c>
      <c r="S17" s="45">
        <v>1991.86420912882</v>
      </c>
      <c r="T17" s="45">
        <v>2067.4362929440099</v>
      </c>
      <c r="U17" s="45">
        <v>2143.0083767592</v>
      </c>
      <c r="V17" s="45">
        <v>2126.8143587988002</v>
      </c>
      <c r="W17" s="45">
        <v>1845.0384462878901</v>
      </c>
      <c r="X17" s="45">
        <v>1900.09810735324</v>
      </c>
      <c r="Y17" s="45">
        <v>2092.26712048329</v>
      </c>
      <c r="Z17" s="45">
        <v>2191.59043064039</v>
      </c>
      <c r="AA17" s="45">
        <v>2031.8094534311399</v>
      </c>
      <c r="AB17" s="45">
        <v>1675.5410583024</v>
      </c>
      <c r="AC17" s="7">
        <f>IF(COUNT(Q17:AB17)=0,"",IF(_xlfn.XLOOKUP($B17,Actuals!$B$7:$B$13,Actuals!$G$7:$G$13,"")="Average",AVERAGE(Q17:AB17),SUM(Q17:AB17)))</f>
        <v>23391.719143194707</v>
      </c>
      <c r="AD17" s="12" t="s">
        <v>62</v>
      </c>
    </row>
    <row r="18" spans="2:30" ht="24.95" customHeight="1" x14ac:dyDescent="0.2">
      <c r="B18" s="3" t="str">
        <v>Average price</v>
      </c>
      <c r="C18" s="13"/>
      <c r="D18" s="6">
        <v>1210</v>
      </c>
      <c r="E18" s="6">
        <v>1207</v>
      </c>
      <c r="F18" s="6">
        <v>1235</v>
      </c>
      <c r="G18" s="6">
        <v>1239</v>
      </c>
      <c r="H18" s="6">
        <v>1237</v>
      </c>
      <c r="I18" s="6">
        <v>1242</v>
      </c>
      <c r="J18" s="6">
        <v>1238</v>
      </c>
      <c r="K18" s="6">
        <v>1245</v>
      </c>
      <c r="L18" s="6">
        <v>1237</v>
      </c>
      <c r="M18" s="6">
        <v>1243</v>
      </c>
      <c r="N18" s="6">
        <v>1240</v>
      </c>
      <c r="O18" s="6">
        <v>1239</v>
      </c>
      <c r="P18" s="7">
        <f>IF(_xlfn.XLOOKUP($B18,Actuals!$B$7:$B$13,Actuals!$G$7:$G$13,"")="Average",AVERAGE(D18:O18),SUM(D18:O18))</f>
        <v>1234.3333333333333</v>
      </c>
      <c r="Q18" s="45">
        <v>1259.38684343711</v>
      </c>
      <c r="R18" s="45">
        <v>1256.2643967178401</v>
      </c>
      <c r="S18" s="45">
        <v>1285.40723276432</v>
      </c>
      <c r="T18" s="45">
        <v>1289.5704950566801</v>
      </c>
      <c r="U18" s="45">
        <v>1287.4888639105</v>
      </c>
      <c r="V18" s="45">
        <v>1292.69294177594</v>
      </c>
      <c r="W18" s="45">
        <v>1288.5296794835899</v>
      </c>
      <c r="X18" s="45">
        <v>1295.8153884952101</v>
      </c>
      <c r="Y18" s="45">
        <v>1287.4888639105</v>
      </c>
      <c r="Z18" s="45">
        <v>1293.7337573490299</v>
      </c>
      <c r="AA18" s="45">
        <v>1290.6113106297701</v>
      </c>
      <c r="AB18" s="45">
        <v>1289.5704950566801</v>
      </c>
      <c r="AC18" s="7">
        <f>IF(COUNT(Q18:AB18)=0,"",IF(_xlfn.XLOOKUP($B18,Actuals!$B$7:$B$13,Actuals!$G$7:$G$13,"")="Average",AVERAGE(Q18:AB18),SUM(Q18:AB18)))</f>
        <v>1284.7133557155973</v>
      </c>
      <c r="AD18" s="12" t="s">
        <v>62</v>
      </c>
    </row>
    <row r="19" spans="2:30" ht="24.95" customHeight="1" x14ac:dyDescent="0.2">
      <c r="B19" s="3" t="str">
        <v>Unit cost</v>
      </c>
      <c r="C19" s="13"/>
      <c r="D19" s="6">
        <v>738</v>
      </c>
      <c r="E19" s="6">
        <v>739</v>
      </c>
      <c r="F19" s="6">
        <v>747</v>
      </c>
      <c r="G19" s="6">
        <v>744</v>
      </c>
      <c r="H19" s="6">
        <v>754</v>
      </c>
      <c r="I19" s="6">
        <v>749</v>
      </c>
      <c r="J19" s="6">
        <v>751</v>
      </c>
      <c r="K19" s="6">
        <v>761</v>
      </c>
      <c r="L19" s="6">
        <v>759</v>
      </c>
      <c r="M19" s="6">
        <v>754</v>
      </c>
      <c r="N19" s="6">
        <v>757</v>
      </c>
      <c r="O19" s="6">
        <v>762</v>
      </c>
      <c r="P19" s="7">
        <f>IF(_xlfn.XLOOKUP($B19,Actuals!$B$7:$B$13,Actuals!$G$7:$G$13,"")="Average",AVERAGE(D19:O19),SUM(D19:O19))</f>
        <v>751.25</v>
      </c>
      <c r="Q19" s="45">
        <v>755.56945047791703</v>
      </c>
      <c r="R19" s="45">
        <v>757.30952828833597</v>
      </c>
      <c r="S19" s="45">
        <v>759.04960609875604</v>
      </c>
      <c r="T19" s="45">
        <v>760.78968390917498</v>
      </c>
      <c r="U19" s="45">
        <v>762.52976171959494</v>
      </c>
      <c r="V19" s="45">
        <v>764.269839530014</v>
      </c>
      <c r="W19" s="45">
        <v>766.00991734043396</v>
      </c>
      <c r="X19" s="45">
        <v>767.74999515085403</v>
      </c>
      <c r="Y19" s="45">
        <v>769.49007296127297</v>
      </c>
      <c r="Z19" s="45">
        <v>771.23015077169305</v>
      </c>
      <c r="AA19" s="45">
        <v>772.97022858211199</v>
      </c>
      <c r="AB19" s="45">
        <v>774.71030639253195</v>
      </c>
      <c r="AC19" s="7">
        <f>IF(COUNT(Q19:AB19)=0,"",IF(_xlfn.XLOOKUP($B19,Actuals!$B$7:$B$13,Actuals!$G$7:$G$13,"")="Average",AVERAGE(Q19:AB19),SUM(Q19:AB19)))</f>
        <v>765.1398784352242</v>
      </c>
      <c r="AD19" s="12" t="s">
        <v>62</v>
      </c>
    </row>
    <row r="20" spans="2:30" ht="24.95" customHeight="1" x14ac:dyDescent="0.2">
      <c r="B20" s="3"/>
      <c r="C20" s="13"/>
      <c r="D20" s="6"/>
      <c r="E20" s="6"/>
      <c r="F20" s="6"/>
      <c r="G20" s="6"/>
      <c r="H20" s="6"/>
      <c r="I20" s="6"/>
      <c r="J20" s="6"/>
      <c r="K20" s="6"/>
      <c r="L20" s="6"/>
      <c r="M20" s="6"/>
      <c r="N20" s="6"/>
      <c r="O20" s="6"/>
      <c r="P20" s="7">
        <f>IF(_xlfn.XLOOKUP($B20,Actuals!$B$7:$B$13,Actuals!$G$7:$G$13,"")="Average",AVERAGE(D20:O20),SUM(D20:O20))</f>
        <v>0</v>
      </c>
      <c r="Q20" s="8"/>
      <c r="R20" s="8"/>
      <c r="S20" s="8"/>
      <c r="T20" s="8"/>
      <c r="U20" s="8"/>
      <c r="V20" s="8"/>
      <c r="W20" s="8"/>
      <c r="X20" s="8"/>
      <c r="Y20" s="8"/>
      <c r="Z20" s="8"/>
      <c r="AA20" s="8"/>
      <c r="AB20" s="8"/>
      <c r="AC20" s="7" t="str">
        <f>IF(COUNT(Q20:AB20)=0,"",IF(_xlfn.XLOOKUP($B20,Actuals!$B$7:$B$13,Actuals!$G$7:$G$13,"")="Average",AVERAGE(Q20:AB20),SUM(Q20:AB20)))</f>
        <v/>
      </c>
      <c r="AD20" s="12"/>
    </row>
    <row r="21" spans="2:30" ht="24.95" customHeight="1" x14ac:dyDescent="0.2">
      <c r="B21" s="3"/>
      <c r="C21" s="13"/>
      <c r="D21" s="6"/>
      <c r="E21" s="6"/>
      <c r="F21" s="6"/>
      <c r="G21" s="6"/>
      <c r="H21" s="6"/>
      <c r="I21" s="6"/>
      <c r="J21" s="6"/>
      <c r="K21" s="6"/>
      <c r="L21" s="6"/>
      <c r="M21" s="6"/>
      <c r="N21" s="6"/>
      <c r="O21" s="6"/>
      <c r="P21" s="7">
        <f>IF(_xlfn.XLOOKUP($B21,Actuals!$B$7:$B$13,Actuals!$G$7:$G$13,"")="Average",AVERAGE(D21:O21),SUM(D21:O21))</f>
        <v>0</v>
      </c>
      <c r="Q21" s="8"/>
      <c r="R21" s="8"/>
      <c r="S21" s="8"/>
      <c r="T21" s="8"/>
      <c r="U21" s="8"/>
      <c r="V21" s="8"/>
      <c r="W21" s="8"/>
      <c r="X21" s="8"/>
      <c r="Y21" s="8"/>
      <c r="Z21" s="8"/>
      <c r="AA21" s="8"/>
      <c r="AB21" s="8"/>
      <c r="AC21" s="7" t="str">
        <f>IF(COUNT(Q21:AB21)=0,"",IF(_xlfn.XLOOKUP($B21,Actuals!$B$7:$B$13,Actuals!$G$7:$G$13,"")="Average",AVERAGE(Q21:AB21),SUM(Q21:AB21)))</f>
        <v/>
      </c>
      <c r="AD21" s="12"/>
    </row>
    <row r="22" spans="2:30" ht="24.95" customHeight="1" x14ac:dyDescent="0.2">
      <c r="B22" s="3"/>
      <c r="C22" s="13"/>
      <c r="D22" s="29"/>
      <c r="E22" s="29"/>
      <c r="F22" s="29"/>
      <c r="G22" s="29"/>
      <c r="H22" s="29"/>
      <c r="I22" s="29"/>
      <c r="J22" s="29"/>
      <c r="K22" s="29"/>
      <c r="L22" s="29"/>
      <c r="M22" s="29"/>
      <c r="N22" s="29"/>
      <c r="O22" s="29"/>
      <c r="P22" s="30">
        <f>IF(_xlfn.XLOOKUP($B22,Actuals!$B$7:$B$13,Actuals!$G$7:$G$13,"")="Average",AVERAGE(D22:O22),SUM(D22:O22))</f>
        <v>0</v>
      </c>
      <c r="Q22" s="8"/>
      <c r="R22" s="8"/>
      <c r="S22" s="8"/>
      <c r="T22" s="8"/>
      <c r="U22" s="8"/>
      <c r="V22" s="8"/>
      <c r="W22" s="8"/>
      <c r="X22" s="8"/>
      <c r="Y22" s="8"/>
      <c r="Z22" s="8"/>
      <c r="AA22" s="8"/>
      <c r="AB22" s="8"/>
      <c r="AC22" s="30" t="str">
        <f>IF(COUNT(Q22:AB22)=0,"",IF(_xlfn.XLOOKUP($B22,Actuals!$B$7:$B$13,Actuals!$G$7:$G$13,"")="Average",AVERAGE(Q22:AB22),SUM(Q22:AB22)))</f>
        <v/>
      </c>
      <c r="AD22" s="12"/>
    </row>
    <row r="23" spans="2:30" ht="24.95" customHeight="1" x14ac:dyDescent="0.2">
      <c r="B23" s="3"/>
      <c r="C23" s="13"/>
      <c r="D23" s="25"/>
      <c r="E23" s="25"/>
      <c r="F23" s="25"/>
      <c r="G23" s="25"/>
      <c r="H23" s="25"/>
      <c r="I23" s="25"/>
      <c r="J23" s="25"/>
      <c r="K23" s="25"/>
      <c r="L23" s="25"/>
      <c r="M23" s="25"/>
      <c r="N23" s="25"/>
      <c r="O23" s="25"/>
      <c r="P23" s="24"/>
      <c r="Q23" s="8"/>
      <c r="R23" s="8"/>
      <c r="S23" s="8"/>
      <c r="T23" s="8"/>
      <c r="U23" s="8"/>
      <c r="V23" s="8"/>
      <c r="W23" s="8"/>
      <c r="X23" s="8"/>
      <c r="Y23" s="8"/>
      <c r="Z23" s="8"/>
      <c r="AA23" s="8"/>
      <c r="AB23" s="8"/>
      <c r="AC23" s="7"/>
      <c r="AD23" s="12"/>
    </row>
    <row r="25" spans="2:30" ht="21.75" customHeight="1" x14ac:dyDescent="0.2">
      <c r="B25" s="4" t="s">
        <v>47</v>
      </c>
      <c r="C25" s="4"/>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2:30" ht="24.95" customHeight="1" x14ac:dyDescent="0.2">
      <c r="B26" s="16" t="s">
        <v>23</v>
      </c>
      <c r="C26" s="16"/>
      <c r="D26" s="6">
        <f>Actuals!AG16</f>
        <v>693840</v>
      </c>
      <c r="E26" s="6">
        <f>Actuals!AH16</f>
        <v>753948</v>
      </c>
      <c r="F26" s="6">
        <f>Actuals!AI16</f>
        <v>900360</v>
      </c>
      <c r="G26" s="6">
        <f>Actuals!AJ16</f>
        <v>947925</v>
      </c>
      <c r="H26" s="6">
        <f>Actuals!AK16</f>
        <v>958755</v>
      </c>
      <c r="I26" s="6">
        <f>Actuals!AL16</f>
        <v>971210</v>
      </c>
      <c r="J26" s="6">
        <f>Actuals!AM16</f>
        <v>832283</v>
      </c>
      <c r="K26" s="6">
        <f>Actuals!AN16</f>
        <v>851840</v>
      </c>
      <c r="L26" s="6">
        <f>Actuals!AO16</f>
        <v>926364</v>
      </c>
      <c r="M26" s="6">
        <f>Actuals!AP16</f>
        <v>992670</v>
      </c>
      <c r="N26" s="6">
        <f>Actuals!AQ16</f>
        <v>909006</v>
      </c>
      <c r="O26" s="6">
        <f>Actuals!AR16</f>
        <v>740304</v>
      </c>
      <c r="P26" s="7">
        <f t="shared" ref="P26:P31" si="2">SUM(D26:O26)</f>
        <v>10478505</v>
      </c>
      <c r="Q26" s="54" cm="1">
        <f t="array" ref="Q26">TargetBase*(1+Intercept+SUMPRODUCT(Effects,IF(DriverBase="",0,Q17:Q23/IF(DriverBase="",1,DriverBase)-1)))</f>
        <v>804879.20746742655</v>
      </c>
      <c r="R26" s="54" cm="1">
        <f t="array" ref="R26">TargetBase*(1+Intercept+SUMPRODUCT(Effects,IF(DriverBase="",0,R17:R23/IF(DriverBase="",1,DriverBase)-1)))</f>
        <v>868921.32056507142</v>
      </c>
      <c r="S26" s="54" cm="1">
        <f t="array" ref="S26">TargetBase*(1+Intercept+SUMPRODUCT(Effects,IF(DriverBase="",0,S17:S23/IF(DriverBase="",1,DriverBase)-1)))</f>
        <v>1035779.270330112</v>
      </c>
      <c r="T26" s="54" cm="1">
        <f t="array" ref="T26">TargetBase*(1+Intercept+SUMPRODUCT(Effects,IF(DriverBase="",0,T17:T23/IF(DriverBase="",1,DriverBase)-1)))</f>
        <v>1075869.5928240537</v>
      </c>
      <c r="U26" s="54" cm="1">
        <f t="array" ref="U26">TargetBase*(1+Intercept+SUMPRODUCT(Effects,IF(DriverBase="",0,U17:U23/IF(DriverBase="",1,DriverBase)-1)))</f>
        <v>1105288.6504991038</v>
      </c>
      <c r="V26" s="54" cm="1">
        <f t="array" ref="V26">TargetBase*(1+Intercept+SUMPRODUCT(Effects,IF(DriverBase="",0,V17:V23/IF(DriverBase="",1,DriverBase)-1)))</f>
        <v>1103578.1373756817</v>
      </c>
      <c r="W26" s="54" cm="1">
        <f t="array" ref="W26">TargetBase*(1+Intercept+SUMPRODUCT(Effects,IF(DriverBase="",0,W17:W23/IF(DriverBase="",1,DriverBase)-1)))</f>
        <v>959736.87503053609</v>
      </c>
      <c r="X26" s="54" cm="1">
        <f t="array" ref="X26">TargetBase*(1+Intercept+SUMPRODUCT(Effects,IF(DriverBase="",0,X17:X23/IF(DriverBase="",1,DriverBase)-1)))</f>
        <v>995421.55681245821</v>
      </c>
      <c r="Y26" s="54" cm="1">
        <f t="array" ref="Y26">TargetBase*(1+Intercept+SUMPRODUCT(Effects,IF(DriverBase="",0,Y17:Y23/IF(DriverBase="",1,DriverBase)-1)))</f>
        <v>1069540.7968852627</v>
      </c>
      <c r="Z26" s="54" cm="1">
        <f t="array" ref="Z26">TargetBase*(1+Intercept+SUMPRODUCT(Effects,IF(DriverBase="",0,Z17:Z23/IF(DriverBase="",1,DriverBase)-1)))</f>
        <v>1124467.5765296065</v>
      </c>
      <c r="AA26" s="54" cm="1">
        <f t="array" ref="AA26">TargetBase*(1+Intercept+SUMPRODUCT(Effects,IF(DriverBase="",0,AA17:AA23/IF(DriverBase="",1,DriverBase)-1)))</f>
        <v>1040339.7984642658</v>
      </c>
      <c r="AB26" s="54" cm="1">
        <f t="array" ref="AB26">TargetBase*(1+Intercept+SUMPRODUCT(Effects,IF(DriverBase="",0,AB17:AB23/IF(DriverBase="",1,DriverBase)-1)))</f>
        <v>866457.96614014683</v>
      </c>
      <c r="AC26" s="7">
        <f t="shared" ref="AC26:AC31" si="3">SUM(Q26:AB26)</f>
        <v>12050280.748923728</v>
      </c>
      <c r="AD26" s="12"/>
    </row>
    <row r="27" spans="2:30" ht="24.95" customHeight="1" x14ac:dyDescent="0.2">
      <c r="B27" s="17" t="str">
        <f>Actuals!$B17</f>
        <v>Product Revenue</v>
      </c>
      <c r="C27" s="13"/>
      <c r="D27" s="6">
        <f>Actuals!AG17</f>
        <v>1442729</v>
      </c>
      <c r="E27" s="6">
        <f>Actuals!AH17</f>
        <v>1594221</v>
      </c>
      <c r="F27" s="6">
        <f>Actuals!AI17</f>
        <v>1878989</v>
      </c>
      <c r="G27" s="6">
        <f>Actuals!AJ17</f>
        <v>1959269</v>
      </c>
      <c r="H27" s="6">
        <f>Actuals!AK17</f>
        <v>1996240</v>
      </c>
      <c r="I27" s="6">
        <f>Actuals!AL17</f>
        <v>2004034</v>
      </c>
      <c r="J27" s="6">
        <f>Actuals!AM17</f>
        <v>1755051</v>
      </c>
      <c r="K27" s="6">
        <f>Actuals!AN17</f>
        <v>1806842</v>
      </c>
      <c r="L27" s="6">
        <f>Actuals!AO17</f>
        <v>1961178</v>
      </c>
      <c r="M27" s="6">
        <f>Actuals!AP17</f>
        <v>2093745</v>
      </c>
      <c r="N27" s="6">
        <f>Actuals!AQ17</f>
        <v>1913586</v>
      </c>
      <c r="O27" s="6">
        <f>Actuals!AR17</f>
        <v>1568044</v>
      </c>
      <c r="P27" s="7">
        <f t="shared" si="2"/>
        <v>21973928</v>
      </c>
      <c r="Q27" s="6">
        <f t="shared" ref="Q27:AB31" si="4">IF(D$26=0,0,D27/D$26)*Q$26</f>
        <v>1673617.2231498226</v>
      </c>
      <c r="R27" s="6">
        <f t="shared" si="4"/>
        <v>1837331.7743300183</v>
      </c>
      <c r="S27" s="6">
        <f t="shared" si="4"/>
        <v>2161599.6438961159</v>
      </c>
      <c r="T27" s="6">
        <f t="shared" si="4"/>
        <v>2223718.0591953909</v>
      </c>
      <c r="U27" s="6">
        <f t="shared" si="4"/>
        <v>2301340.1918866979</v>
      </c>
      <c r="V27" s="6">
        <f t="shared" si="4"/>
        <v>2277167.7690278483</v>
      </c>
      <c r="W27" s="6">
        <f t="shared" si="4"/>
        <v>2023815.4116559122</v>
      </c>
      <c r="X27" s="6">
        <f t="shared" si="4"/>
        <v>2111393.5440389458</v>
      </c>
      <c r="Y27" s="6">
        <f t="shared" si="4"/>
        <v>2264293.3889419772</v>
      </c>
      <c r="Z27" s="6">
        <f t="shared" si="4"/>
        <v>2371733.1701582409</v>
      </c>
      <c r="AA27" s="6">
        <f t="shared" si="4"/>
        <v>2190062.1927512474</v>
      </c>
      <c r="AB27" s="6">
        <f t="shared" si="4"/>
        <v>1835251.75476326</v>
      </c>
      <c r="AC27" s="7">
        <f t="shared" si="3"/>
        <v>25271324.12379548</v>
      </c>
      <c r="AD27" s="12"/>
    </row>
    <row r="28" spans="2:30" ht="24.95" customHeight="1" x14ac:dyDescent="0.2">
      <c r="B28" s="17" t="str">
        <f>Actuals!$B18</f>
        <v>Service Revenue</v>
      </c>
      <c r="C28" s="13"/>
      <c r="D28" s="6">
        <f>Actuals!AG18</f>
        <v>335971</v>
      </c>
      <c r="E28" s="6">
        <f>Actuals!AH18</f>
        <v>350256</v>
      </c>
      <c r="F28" s="6">
        <f>Actuals!AI18</f>
        <v>399586</v>
      </c>
      <c r="G28" s="6">
        <f>Actuals!AJ18</f>
        <v>413416</v>
      </c>
      <c r="H28" s="6">
        <f>Actuals!AK18</f>
        <v>459205</v>
      </c>
      <c r="I28" s="6">
        <f>Actuals!AL18</f>
        <v>442706</v>
      </c>
      <c r="J28" s="6">
        <f>Actuals!AM18</f>
        <v>360691</v>
      </c>
      <c r="K28" s="6">
        <f>Actuals!AN18</f>
        <v>384358</v>
      </c>
      <c r="L28" s="6">
        <f>Actuals!AO18</f>
        <v>436128</v>
      </c>
      <c r="M28" s="6">
        <f>Actuals!AP18</f>
        <v>429545</v>
      </c>
      <c r="N28" s="6">
        <f>Actuals!AQ18</f>
        <v>420094</v>
      </c>
      <c r="O28" s="6">
        <f>Actuals!AR18</f>
        <v>354884</v>
      </c>
      <c r="P28" s="7">
        <f t="shared" si="2"/>
        <v>4786840</v>
      </c>
      <c r="Q28" s="6">
        <f t="shared" si="4"/>
        <v>389738.37226455484</v>
      </c>
      <c r="R28" s="6">
        <f t="shared" si="4"/>
        <v>403668.29815297562</v>
      </c>
      <c r="S28" s="6">
        <f t="shared" si="4"/>
        <v>459686.00950078649</v>
      </c>
      <c r="T28" s="6">
        <f t="shared" si="4"/>
        <v>469216.13375208899</v>
      </c>
      <c r="U28" s="6">
        <f t="shared" si="4"/>
        <v>529388.71218657633</v>
      </c>
      <c r="V28" s="6">
        <f t="shared" si="4"/>
        <v>503043.27888411214</v>
      </c>
      <c r="W28" s="6">
        <f t="shared" si="4"/>
        <v>415926.37743608735</v>
      </c>
      <c r="X28" s="6">
        <f t="shared" si="4"/>
        <v>449143.31181128242</v>
      </c>
      <c r="Y28" s="6">
        <f t="shared" si="4"/>
        <v>503534.9912820186</v>
      </c>
      <c r="Z28" s="6">
        <f t="shared" si="4"/>
        <v>486576.02744155639</v>
      </c>
      <c r="AA28" s="6">
        <f t="shared" si="4"/>
        <v>480789.46376156731</v>
      </c>
      <c r="AB28" s="6">
        <f t="shared" si="4"/>
        <v>415359.18873284466</v>
      </c>
      <c r="AC28" s="7">
        <f t="shared" si="3"/>
        <v>5506070.165206451</v>
      </c>
      <c r="AD28" s="12"/>
    </row>
    <row r="29" spans="2:30" ht="24.95" customHeight="1" x14ac:dyDescent="0.2">
      <c r="B29" s="17" t="str">
        <f>Actuals!$B19</f>
        <v>Materials</v>
      </c>
      <c r="C29" s="13"/>
      <c r="D29" s="6">
        <f>Actuals!AG19</f>
        <v>681641</v>
      </c>
      <c r="E29" s="6">
        <f>Actuals!AH19</f>
        <v>746186</v>
      </c>
      <c r="F29" s="6">
        <f>Actuals!AI19</f>
        <v>866892</v>
      </c>
      <c r="G29" s="6">
        <f>Actuals!AJ19</f>
        <v>872142</v>
      </c>
      <c r="H29" s="6">
        <f>Actuals!AK19</f>
        <v>938267</v>
      </c>
      <c r="I29" s="6">
        <f>Actuals!AL19</f>
        <v>929563</v>
      </c>
      <c r="J29" s="6">
        <f>Actuals!AM19</f>
        <v>794552</v>
      </c>
      <c r="K29" s="6">
        <f>Actuals!AN19</f>
        <v>829842</v>
      </c>
      <c r="L29" s="6">
        <f>Actuals!AO19</f>
        <v>901585</v>
      </c>
      <c r="M29" s="6">
        <f>Actuals!AP19</f>
        <v>963060</v>
      </c>
      <c r="N29" s="6">
        <f>Actuals!AQ19</f>
        <v>878696</v>
      </c>
      <c r="O29" s="6">
        <f>Actuals!AR19</f>
        <v>739897</v>
      </c>
      <c r="P29" s="7">
        <f t="shared" si="2"/>
        <v>10142323</v>
      </c>
      <c r="Q29" s="6">
        <f t="shared" si="4"/>
        <v>790727.93130592653</v>
      </c>
      <c r="R29" s="6">
        <f t="shared" si="4"/>
        <v>859975.6541660279</v>
      </c>
      <c r="S29" s="6">
        <f t="shared" si="4"/>
        <v>997277.49257520481</v>
      </c>
      <c r="T29" s="6">
        <f t="shared" si="4"/>
        <v>989857.9090379047</v>
      </c>
      <c r="U29" s="6">
        <f t="shared" si="4"/>
        <v>1081669.3172268646</v>
      </c>
      <c r="V29" s="6">
        <f t="shared" si="4"/>
        <v>1056254.9851353988</v>
      </c>
      <c r="W29" s="6">
        <f t="shared" si="4"/>
        <v>916227.83780188044</v>
      </c>
      <c r="X29" s="6">
        <f t="shared" si="4"/>
        <v>969715.692557715</v>
      </c>
      <c r="Y29" s="6">
        <f t="shared" si="4"/>
        <v>1040932.0087566006</v>
      </c>
      <c r="Z29" s="6">
        <f t="shared" si="4"/>
        <v>1090926.233544484</v>
      </c>
      <c r="AA29" s="6">
        <f t="shared" si="4"/>
        <v>1005650.58927153</v>
      </c>
      <c r="AB29" s="6">
        <f t="shared" si="4"/>
        <v>865981.60995104199</v>
      </c>
      <c r="AC29" s="7">
        <f t="shared" si="3"/>
        <v>11665197.261330578</v>
      </c>
      <c r="AD29" s="12"/>
    </row>
    <row r="30" spans="2:30" ht="24.95" customHeight="1" x14ac:dyDescent="0.2">
      <c r="B30" s="17" t="str">
        <f>Actuals!$B20</f>
        <v>Freight and duties</v>
      </c>
      <c r="C30" s="13"/>
      <c r="D30" s="6">
        <f>Actuals!AG20</f>
        <v>114265</v>
      </c>
      <c r="E30" s="6">
        <f>Actuals!AH20</f>
        <v>126560</v>
      </c>
      <c r="F30" s="6">
        <f>Actuals!AI20</f>
        <v>153401</v>
      </c>
      <c r="G30" s="6">
        <f>Actuals!AJ20</f>
        <v>155791</v>
      </c>
      <c r="H30" s="6">
        <f>Actuals!AK20</f>
        <v>161565</v>
      </c>
      <c r="I30" s="6">
        <f>Actuals!AL20</f>
        <v>167506</v>
      </c>
      <c r="J30" s="6">
        <f>Actuals!AM20</f>
        <v>141029</v>
      </c>
      <c r="K30" s="6">
        <f>Actuals!AN20</f>
        <v>144531</v>
      </c>
      <c r="L30" s="6">
        <f>Actuals!AO20</f>
        <v>159994</v>
      </c>
      <c r="M30" s="6">
        <f>Actuals!AP20</f>
        <v>170312</v>
      </c>
      <c r="N30" s="6">
        <f>Actuals!AQ20</f>
        <v>150861</v>
      </c>
      <c r="O30" s="6">
        <f>Actuals!AR20</f>
        <v>134433</v>
      </c>
      <c r="P30" s="7">
        <f t="shared" si="2"/>
        <v>1780248</v>
      </c>
      <c r="Q30" s="6">
        <f t="shared" si="4"/>
        <v>132551.48541632868</v>
      </c>
      <c r="R30" s="6">
        <f t="shared" si="4"/>
        <v>145859.77060847092</v>
      </c>
      <c r="S30" s="6">
        <f t="shared" si="4"/>
        <v>176473.38381081956</v>
      </c>
      <c r="T30" s="6">
        <f t="shared" si="4"/>
        <v>176818.62988701864</v>
      </c>
      <c r="U30" s="6">
        <f t="shared" si="4"/>
        <v>186258.17942841258</v>
      </c>
      <c r="V30" s="6">
        <f t="shared" si="4"/>
        <v>190335.72500206024</v>
      </c>
      <c r="W30" s="6">
        <f t="shared" si="4"/>
        <v>162625.85172192808</v>
      </c>
      <c r="X30" s="6">
        <f t="shared" si="4"/>
        <v>168892.36596973776</v>
      </c>
      <c r="Y30" s="6">
        <f t="shared" si="4"/>
        <v>184722.32325183265</v>
      </c>
      <c r="Z30" s="6">
        <f t="shared" si="4"/>
        <v>192924.4581723134</v>
      </c>
      <c r="AA30" s="6">
        <f t="shared" si="4"/>
        <v>172657.49878011542</v>
      </c>
      <c r="AB30" s="6">
        <f t="shared" si="4"/>
        <v>157341.50262880974</v>
      </c>
      <c r="AC30" s="7">
        <f t="shared" si="3"/>
        <v>2047461.1746778477</v>
      </c>
      <c r="AD30" s="12"/>
    </row>
    <row r="31" spans="2:30" ht="24.95" customHeight="1" x14ac:dyDescent="0.2">
      <c r="B31" s="17" t="str">
        <f>Actuals!$B21</f>
        <v>Direct labour</v>
      </c>
      <c r="C31" s="13"/>
      <c r="D31" s="6">
        <f>Actuals!AG21</f>
        <v>288954</v>
      </c>
      <c r="E31" s="6">
        <f>Actuals!AH21</f>
        <v>317783</v>
      </c>
      <c r="F31" s="6">
        <f>Actuals!AI21</f>
        <v>357922</v>
      </c>
      <c r="G31" s="6">
        <f>Actuals!AJ21</f>
        <v>396827</v>
      </c>
      <c r="H31" s="6">
        <f>Actuals!AK21</f>
        <v>396858</v>
      </c>
      <c r="I31" s="6">
        <f>Actuals!AL21</f>
        <v>378461</v>
      </c>
      <c r="J31" s="6">
        <f>Actuals!AM21</f>
        <v>347878</v>
      </c>
      <c r="K31" s="6">
        <f>Actuals!AN21</f>
        <v>364987</v>
      </c>
      <c r="L31" s="6">
        <f>Actuals!AO21</f>
        <v>409363</v>
      </c>
      <c r="M31" s="6">
        <f>Actuals!AP21</f>
        <v>397248</v>
      </c>
      <c r="N31" s="6">
        <f>Actuals!AQ21</f>
        <v>395117</v>
      </c>
      <c r="O31" s="6">
        <f>Actuals!AR21</f>
        <v>308294</v>
      </c>
      <c r="P31" s="7">
        <f t="shared" si="2"/>
        <v>4359692</v>
      </c>
      <c r="Q31" s="6">
        <f t="shared" si="4"/>
        <v>335196.97122469556</v>
      </c>
      <c r="R31" s="6">
        <f t="shared" si="4"/>
        <v>366243.32714342384</v>
      </c>
      <c r="S31" s="6">
        <f t="shared" si="4"/>
        <v>411755.50668076589</v>
      </c>
      <c r="T31" s="6">
        <f t="shared" si="4"/>
        <v>450388.06119850278</v>
      </c>
      <c r="U31" s="6">
        <f t="shared" si="4"/>
        <v>457512.75691889308</v>
      </c>
      <c r="V31" s="6">
        <f t="shared" si="4"/>
        <v>430042.20039881987</v>
      </c>
      <c r="W31" s="6">
        <f t="shared" si="4"/>
        <v>401151.22453765466</v>
      </c>
      <c r="X31" s="6">
        <f t="shared" si="4"/>
        <v>426507.24051031726</v>
      </c>
      <c r="Y31" s="6">
        <f t="shared" si="4"/>
        <v>472633.25133029977</v>
      </c>
      <c r="Z31" s="6">
        <f t="shared" si="4"/>
        <v>449990.9293533935</v>
      </c>
      <c r="AA31" s="6">
        <f t="shared" si="4"/>
        <v>452203.76999690355</v>
      </c>
      <c r="AB31" s="6">
        <f t="shared" si="4"/>
        <v>360829.86477610609</v>
      </c>
      <c r="AC31" s="7">
        <f t="shared" si="3"/>
        <v>5014455.1040697768</v>
      </c>
      <c r="AD31" s="12"/>
    </row>
    <row r="32" spans="2:30" ht="26.25" customHeight="1" x14ac:dyDescent="0.2"/>
    <row r="33" ht="26.25" customHeight="1" x14ac:dyDescent="0.2"/>
    <row r="34" ht="26.25" customHeight="1" x14ac:dyDescent="0.2"/>
    <row r="35" ht="26.25" customHeight="1" x14ac:dyDescent="0.2"/>
    <row r="36" ht="26.25" customHeight="1" x14ac:dyDescent="0.2"/>
    <row r="37" ht="26.25" customHeight="1"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63255-93C8-4972-8EBA-81675312A617}">
  <sheetPr>
    <tabColor theme="3" tint="0.39997558519241921"/>
  </sheetPr>
  <dimension ref="A1:AE37"/>
  <sheetViews>
    <sheetView showRowColHeaders="0" zoomScaleNormal="100" workbookViewId="0"/>
  </sheetViews>
  <sheetFormatPr defaultColWidth="12.7109375" defaultRowHeight="15.95" customHeight="1" outlineLevelCol="1" x14ac:dyDescent="0.2"/>
  <cols>
    <col min="1" max="1" width="2.7109375" customWidth="1" collapsed="1"/>
    <col min="2" max="2" width="31.42578125" customWidth="1" collapsed="1"/>
    <col min="3" max="3" width="13.7109375" customWidth="1"/>
    <col min="4" max="15" width="11.7109375" hidden="1" customWidth="1" outlineLevel="1" collapsed="1"/>
    <col min="16" max="16" width="12.7109375" collapsed="1"/>
    <col min="17" max="28" width="11.7109375" customWidth="1" outlineLevel="1" collapsed="1"/>
    <col min="30" max="30" width="42.85546875" customWidth="1"/>
    <col min="31" max="31" width="2.7109375" customWidth="1" collapsed="1"/>
    <col min="32" max="32" width="0" hidden="1" customWidth="1"/>
    <col min="34" max="47" width="0" hidden="1" customWidth="1"/>
  </cols>
  <sheetData>
    <row r="1" spans="1:31" ht="24.95" customHeight="1" x14ac:dyDescent="0.2">
      <c r="A1" s="5"/>
      <c r="B1" s="5" t="s">
        <v>32</v>
      </c>
      <c r="C1" s="5"/>
      <c r="D1" s="5"/>
      <c r="E1" s="5"/>
      <c r="F1" s="5"/>
      <c r="G1" s="5"/>
      <c r="H1" s="5"/>
      <c r="I1" s="5"/>
      <c r="J1" s="5"/>
      <c r="K1" s="5"/>
      <c r="L1" s="5"/>
      <c r="M1" s="5"/>
      <c r="N1" s="5"/>
      <c r="O1" s="5"/>
      <c r="P1" s="5"/>
      <c r="Q1" s="5"/>
      <c r="R1" s="5"/>
      <c r="S1" s="5"/>
      <c r="T1" s="5"/>
      <c r="U1" s="5"/>
      <c r="V1" s="5"/>
      <c r="W1" s="5"/>
      <c r="X1" s="5"/>
      <c r="Y1" s="5"/>
      <c r="Z1" s="5"/>
      <c r="AA1" s="5"/>
      <c r="AB1" s="5"/>
      <c r="AC1" s="5"/>
      <c r="AD1" s="5"/>
      <c r="AE1" s="5"/>
    </row>
    <row r="2" spans="1:31" ht="24.95" customHeight="1" x14ac:dyDescent="0.2">
      <c r="A2" s="2"/>
      <c r="B2" s="21" t="str">
        <f>C6&amp;" - top-down"</f>
        <v>Holiday promo: price -10%, units +25% in Nov-Dec - top-down</v>
      </c>
      <c r="C2" s="2"/>
      <c r="D2" s="2" t="s">
        <v>1</v>
      </c>
      <c r="E2" s="2" t="s">
        <v>1</v>
      </c>
      <c r="F2" s="2" t="s">
        <v>1</v>
      </c>
      <c r="G2" s="2" t="s">
        <v>1</v>
      </c>
      <c r="H2" s="2" t="s">
        <v>1</v>
      </c>
      <c r="I2" s="2" t="s">
        <v>1</v>
      </c>
      <c r="J2" s="2" t="s">
        <v>1</v>
      </c>
      <c r="K2" s="2" t="s">
        <v>1</v>
      </c>
      <c r="L2" s="2" t="s">
        <v>1</v>
      </c>
      <c r="M2" s="2" t="s">
        <v>1</v>
      </c>
      <c r="N2" s="2" t="s">
        <v>1</v>
      </c>
      <c r="O2" s="2" t="s">
        <v>1</v>
      </c>
      <c r="P2" s="10" t="s">
        <v>1</v>
      </c>
      <c r="Q2" s="2"/>
      <c r="R2" s="2"/>
      <c r="S2" s="2"/>
      <c r="T2" s="2"/>
      <c r="U2" s="2"/>
      <c r="V2" s="2"/>
      <c r="W2" s="2"/>
      <c r="X2" s="2"/>
      <c r="Y2" s="2"/>
      <c r="Z2" s="2"/>
      <c r="AA2" s="2"/>
      <c r="AB2" s="2"/>
      <c r="AC2" s="2"/>
      <c r="AD2" s="2"/>
      <c r="AE2" s="2"/>
    </row>
    <row r="3" spans="1:31" ht="20.100000000000001" customHeight="1" x14ac:dyDescent="0.2">
      <c r="A3" s="2"/>
      <c r="B3" s="21"/>
      <c r="C3" s="2"/>
      <c r="D3" s="2">
        <f>Actuals!$AU$3</f>
        <v>2026</v>
      </c>
      <c r="E3" s="2">
        <f>Actuals!$AU$3</f>
        <v>2026</v>
      </c>
      <c r="F3" s="2">
        <f>Actuals!$AU$3</f>
        <v>2026</v>
      </c>
      <c r="G3" s="2">
        <f>Actuals!$AU$3</f>
        <v>2026</v>
      </c>
      <c r="H3" s="2">
        <f>Actuals!$AU$3</f>
        <v>2026</v>
      </c>
      <c r="I3" s="2">
        <f>Actuals!$AU$3</f>
        <v>2026</v>
      </c>
      <c r="J3" s="2">
        <f>Actuals!$AU$3</f>
        <v>2026</v>
      </c>
      <c r="K3" s="2">
        <f>Actuals!$AU$3</f>
        <v>2026</v>
      </c>
      <c r="L3" s="2">
        <f>Actuals!$AU$3</f>
        <v>2026</v>
      </c>
      <c r="M3" s="2">
        <f>Actuals!$AU$3</f>
        <v>2026</v>
      </c>
      <c r="N3" s="2">
        <f>Actuals!$AU$3</f>
        <v>2026</v>
      </c>
      <c r="O3" s="2">
        <f>Actuals!$AU$3</f>
        <v>2026</v>
      </c>
      <c r="P3" s="10">
        <f>$O$3</f>
        <v>2026</v>
      </c>
      <c r="Q3" s="2">
        <f>$D$3+1</f>
        <v>2027</v>
      </c>
      <c r="R3" s="2">
        <f t="shared" ref="R3:AB3" si="0">$D$3+1</f>
        <v>2027</v>
      </c>
      <c r="S3" s="2">
        <f t="shared" si="0"/>
        <v>2027</v>
      </c>
      <c r="T3" s="2">
        <f t="shared" si="0"/>
        <v>2027</v>
      </c>
      <c r="U3" s="2">
        <f t="shared" si="0"/>
        <v>2027</v>
      </c>
      <c r="V3" s="2">
        <f t="shared" si="0"/>
        <v>2027</v>
      </c>
      <c r="W3" s="2">
        <f t="shared" si="0"/>
        <v>2027</v>
      </c>
      <c r="X3" s="2">
        <f t="shared" si="0"/>
        <v>2027</v>
      </c>
      <c r="Y3" s="2">
        <f t="shared" si="0"/>
        <v>2027</v>
      </c>
      <c r="Z3" s="2">
        <f t="shared" si="0"/>
        <v>2027</v>
      </c>
      <c r="AA3" s="2">
        <f t="shared" si="0"/>
        <v>2027</v>
      </c>
      <c r="AB3" s="2">
        <f t="shared" si="0"/>
        <v>2027</v>
      </c>
      <c r="AC3" s="10">
        <f>$AB$3</f>
        <v>2027</v>
      </c>
      <c r="AD3" s="2"/>
      <c r="AE3" s="2"/>
    </row>
    <row r="4" spans="1:31" ht="20.100000000000001" customHeight="1" x14ac:dyDescent="0.2">
      <c r="A4" s="2"/>
      <c r="B4" s="2"/>
      <c r="C4" s="2"/>
      <c r="D4" s="2" t="s">
        <v>3</v>
      </c>
      <c r="E4" s="2" t="s">
        <v>4</v>
      </c>
      <c r="F4" s="2" t="s">
        <v>5</v>
      </c>
      <c r="G4" s="2" t="s">
        <v>6</v>
      </c>
      <c r="H4" s="2" t="s">
        <v>7</v>
      </c>
      <c r="I4" s="2" t="s">
        <v>8</v>
      </c>
      <c r="J4" s="2" t="s">
        <v>9</v>
      </c>
      <c r="K4" s="2" t="s">
        <v>10</v>
      </c>
      <c r="L4" s="2" t="s">
        <v>11</v>
      </c>
      <c r="M4" s="2" t="s">
        <v>12</v>
      </c>
      <c r="N4" s="2" t="s">
        <v>13</v>
      </c>
      <c r="O4" s="2" t="s">
        <v>14</v>
      </c>
      <c r="P4" s="10" t="s">
        <v>0</v>
      </c>
      <c r="Q4" s="2" t="s">
        <v>3</v>
      </c>
      <c r="R4" s="2" t="s">
        <v>4</v>
      </c>
      <c r="S4" s="2" t="s">
        <v>5</v>
      </c>
      <c r="T4" s="2" t="s">
        <v>6</v>
      </c>
      <c r="U4" s="2" t="s">
        <v>7</v>
      </c>
      <c r="V4" s="2" t="s">
        <v>8</v>
      </c>
      <c r="W4" s="2" t="s">
        <v>9</v>
      </c>
      <c r="X4" s="2" t="s">
        <v>10</v>
      </c>
      <c r="Y4" s="2" t="s">
        <v>11</v>
      </c>
      <c r="Z4" s="2" t="s">
        <v>12</v>
      </c>
      <c r="AA4" s="2" t="s">
        <v>13</v>
      </c>
      <c r="AB4" s="2" t="s">
        <v>14</v>
      </c>
      <c r="AC4" s="10" t="s">
        <v>0</v>
      </c>
      <c r="AD4" s="10" t="s">
        <v>24</v>
      </c>
      <c r="AE4" s="2"/>
    </row>
    <row r="6" spans="1:31" ht="15.95" hidden="1" customHeight="1" x14ac:dyDescent="0.2">
      <c r="B6" s="3" t="s">
        <v>54</v>
      </c>
      <c r="C6" s="28" t="s">
        <v>117</v>
      </c>
    </row>
    <row r="7" spans="1:31" ht="15.95" hidden="1" customHeight="1" x14ac:dyDescent="0.2">
      <c r="B7" s="3" t="s">
        <v>40</v>
      </c>
      <c r="C7" s="28" t="s">
        <v>118</v>
      </c>
    </row>
    <row r="8" spans="1:31" ht="15.95" hidden="1" customHeight="1" x14ac:dyDescent="0.2">
      <c r="B8" s="3" t="s">
        <v>55</v>
      </c>
      <c r="C8" s="23" t="s">
        <v>119</v>
      </c>
    </row>
    <row r="9" spans="1:31" ht="15.95" hidden="1" customHeight="1" x14ac:dyDescent="0.2">
      <c r="B9" s="3" t="s">
        <v>2</v>
      </c>
      <c r="C9" s="23" t="s">
        <v>120</v>
      </c>
    </row>
    <row r="10" spans="1:31" ht="15.95" hidden="1" customHeight="1" x14ac:dyDescent="0.2">
      <c r="B10" s="3" t="s">
        <v>42</v>
      </c>
      <c r="C10" s="28" t="s">
        <v>59</v>
      </c>
    </row>
    <row r="11" spans="1:31" ht="15.95" hidden="1" customHeight="1" x14ac:dyDescent="0.2">
      <c r="B11" s="3" t="s">
        <v>56</v>
      </c>
      <c r="C11" s="23" t="s">
        <v>121</v>
      </c>
    </row>
    <row r="13" spans="1:31" ht="21.75" customHeight="1" x14ac:dyDescent="0.2">
      <c r="B13" s="4" t="s">
        <v>22</v>
      </c>
      <c r="C13" s="4"/>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1" ht="24.95" customHeight="1" x14ac:dyDescent="0.2">
      <c r="B14" s="16" t="str">
        <f>Actuals!$B$16</f>
        <v>Gross Margin</v>
      </c>
      <c r="C14" s="16"/>
      <c r="D14" s="6">
        <f>Actuals!AG$16</f>
        <v>693840</v>
      </c>
      <c r="E14" s="6">
        <f>Actuals!AH$16</f>
        <v>753948</v>
      </c>
      <c r="F14" s="6">
        <f>Actuals!AI$16</f>
        <v>900360</v>
      </c>
      <c r="G14" s="6">
        <f>Actuals!AJ$16</f>
        <v>947925</v>
      </c>
      <c r="H14" s="6">
        <f>Actuals!AK$16</f>
        <v>958755</v>
      </c>
      <c r="I14" s="6">
        <f>Actuals!AL$16</f>
        <v>971210</v>
      </c>
      <c r="J14" s="6">
        <f>Actuals!AM$16</f>
        <v>832283</v>
      </c>
      <c r="K14" s="6">
        <f>Actuals!AN$16</f>
        <v>851840</v>
      </c>
      <c r="L14" s="6">
        <f>Actuals!AO$16</f>
        <v>926364</v>
      </c>
      <c r="M14" s="6">
        <f>Actuals!AP$16</f>
        <v>992670</v>
      </c>
      <c r="N14" s="6">
        <f>Actuals!AQ$16</f>
        <v>909006</v>
      </c>
      <c r="O14" s="6">
        <f>Actuals!AR$16</f>
        <v>740304</v>
      </c>
      <c r="P14" s="7">
        <f>SUM(D14:O14)</f>
        <v>10478505</v>
      </c>
      <c r="Q14" s="45">
        <f t="shared" ref="Q14:AB14" si="1">Q26</f>
        <v>762679.47915433883</v>
      </c>
      <c r="R14" s="45">
        <f t="shared" si="1"/>
        <v>754487.59399480349</v>
      </c>
      <c r="S14" s="45">
        <f t="shared" si="1"/>
        <v>900068.30292342999</v>
      </c>
      <c r="T14" s="45">
        <f t="shared" si="1"/>
        <v>945168.00309397397</v>
      </c>
      <c r="U14" s="45">
        <f t="shared" si="1"/>
        <v>958253.92228279205</v>
      </c>
      <c r="V14" s="45">
        <f t="shared" si="1"/>
        <v>968044.0823339005</v>
      </c>
      <c r="W14" s="45">
        <f t="shared" si="1"/>
        <v>833913.11623766634</v>
      </c>
      <c r="X14" s="45">
        <f t="shared" si="1"/>
        <v>853355.19313397934</v>
      </c>
      <c r="Y14" s="45">
        <f t="shared" si="1"/>
        <v>927564.18600642553</v>
      </c>
      <c r="Z14" s="45">
        <f t="shared" si="1"/>
        <v>989877.04585143947</v>
      </c>
      <c r="AA14" s="45">
        <f t="shared" si="1"/>
        <v>920991.9119895224</v>
      </c>
      <c r="AB14" s="45">
        <f t="shared" si="1"/>
        <v>715189.66911063995</v>
      </c>
      <c r="AC14" s="7">
        <f t="shared" ref="AC14" si="2">SUM(Q14:AB14)</f>
        <v>10529592.506112911</v>
      </c>
      <c r="AD14" s="12"/>
    </row>
    <row r="16" spans="1:31" ht="20.100000000000001" customHeight="1" x14ac:dyDescent="0.2">
      <c r="B16" s="4" t="s">
        <v>2</v>
      </c>
      <c r="C16" s="4"/>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2:30" ht="24.95" customHeight="1" x14ac:dyDescent="0.2">
      <c r="B17" s="3" t="str" cm="1">
        <f t="array" ref="B17:B19">IFERROR(_xlfn._xlws.FILTER(Actuals!$B$7:$B$13,Actuals!$H$7:$H$13),"No Drivers Selected")</f>
        <v>Units sold</v>
      </c>
      <c r="C17" s="13"/>
      <c r="D17" s="6" cm="1">
        <f t="array" ref="D17:D19">_xlfn.XLOOKUP(_xlfn.ANCHORARRAY($B17),Actuals!$B$7:$B$13,Actuals!AG$7:AG$13,0)</f>
        <v>1470</v>
      </c>
      <c r="E17" s="6" cm="1">
        <f t="array" ref="E17:E19">_xlfn.XLOOKUP(_xlfn.ANCHORARRAY($B17),Actuals!$B$7:$B$13,Actuals!AH$7:AH$13,0)</f>
        <v>1611</v>
      </c>
      <c r="F17" s="6" cm="1">
        <f t="array" ref="F17:F19">_xlfn.XLOOKUP(_xlfn.ANCHORARRAY($B17),Actuals!$B$7:$B$13,Actuals!AI$7:AI$13,0)</f>
        <v>1845</v>
      </c>
      <c r="G17" s="6" cm="1">
        <f t="array" ref="G17:G19">_xlfn.XLOOKUP(_xlfn.ANCHORARRAY($B17),Actuals!$B$7:$B$13,Actuals!AJ$7:AJ$13,0)</f>
        <v>1915</v>
      </c>
      <c r="H17" s="6" cm="1">
        <f t="array" ref="H17:H19">_xlfn.XLOOKUP(_xlfn.ANCHORARRAY($B17),Actuals!$B$7:$B$13,Actuals!AK$7:AK$13,0)</f>
        <v>1985</v>
      </c>
      <c r="I17" s="6" cm="1">
        <f t="array" ref="I17:I19">_xlfn.XLOOKUP(_xlfn.ANCHORARRAY($B17),Actuals!$B$7:$B$13,Actuals!AL$7:AL$13,0)</f>
        <v>1970</v>
      </c>
      <c r="J17" s="6" cm="1">
        <f t="array" ref="J17:J19">_xlfn.XLOOKUP(_xlfn.ANCHORARRAY($B17),Actuals!$B$7:$B$13,Actuals!AM$7:AM$13,0)</f>
        <v>1709</v>
      </c>
      <c r="K17" s="6" cm="1">
        <f t="array" ref="K17:K19">_xlfn.XLOOKUP(_xlfn.ANCHORARRAY($B17),Actuals!$B$7:$B$13,Actuals!AN$7:AN$13,0)</f>
        <v>1760</v>
      </c>
      <c r="L17" s="6" cm="1">
        <f t="array" ref="L17:L19">_xlfn.XLOOKUP(_xlfn.ANCHORARRAY($B17),Actuals!$B$7:$B$13,Actuals!AO$7:AO$13,0)</f>
        <v>1938</v>
      </c>
      <c r="M17" s="6" cm="1">
        <f t="array" ref="M17:M19">_xlfn.XLOOKUP(_xlfn.ANCHORARRAY($B17),Actuals!$B$7:$B$13,Actuals!AP$7:AP$13,0)</f>
        <v>2030</v>
      </c>
      <c r="N17" s="6" cm="1">
        <f t="array" ref="N17:N19">_xlfn.XLOOKUP(_xlfn.ANCHORARRAY($B17),Actuals!$B$7:$B$13,Actuals!AQ$7:AQ$13,0)</f>
        <v>1882</v>
      </c>
      <c r="O17" s="6" cm="1">
        <f t="array" ref="O17:O19">_xlfn.XLOOKUP(_xlfn.ANCHORARRAY($B17),Actuals!$B$7:$B$13,Actuals!AR$7:AR$13,0)</f>
        <v>1552</v>
      </c>
      <c r="P17" s="7">
        <f>IF(_xlfn.XLOOKUP($B17,Actuals!$B$7:$B$13,Actuals!$G$7:$G$13,"")="Average",AVERAGE(D17:O17),SUM(D17:O17))</f>
        <v>21667</v>
      </c>
      <c r="Q17" s="8">
        <f t="shared" ref="Q17:Z17" si="3">D17</f>
        <v>1470</v>
      </c>
      <c r="R17" s="8">
        <f t="shared" si="3"/>
        <v>1611</v>
      </c>
      <c r="S17" s="8">
        <f t="shared" si="3"/>
        <v>1845</v>
      </c>
      <c r="T17" s="8">
        <f t="shared" si="3"/>
        <v>1915</v>
      </c>
      <c r="U17" s="8">
        <f t="shared" si="3"/>
        <v>1985</v>
      </c>
      <c r="V17" s="8">
        <f t="shared" si="3"/>
        <v>1970</v>
      </c>
      <c r="W17" s="8">
        <f t="shared" si="3"/>
        <v>1709</v>
      </c>
      <c r="X17" s="8">
        <f t="shared" si="3"/>
        <v>1760</v>
      </c>
      <c r="Y17" s="8">
        <f t="shared" si="3"/>
        <v>1938</v>
      </c>
      <c r="Z17" s="8">
        <f t="shared" si="3"/>
        <v>2030</v>
      </c>
      <c r="AA17" s="8">
        <f>N17*1.25</f>
        <v>2352.5</v>
      </c>
      <c r="AB17" s="8">
        <f>O17*1.25</f>
        <v>1940</v>
      </c>
      <c r="AC17" s="7">
        <f>IF(COUNT(Q17:AB17)=0,"",IF(_xlfn.XLOOKUP($B17,Actuals!$B$7:$B$13,Actuals!$G$7:$G$13,"")="Average",AVERAGE(Q17:AB17),SUM(Q17:AB17)))</f>
        <v>22525.5</v>
      </c>
      <c r="AD17" s="12" t="s">
        <v>122</v>
      </c>
    </row>
    <row r="18" spans="2:30" ht="24.95" customHeight="1" x14ac:dyDescent="0.2">
      <c r="B18" s="3" t="str">
        <v>Average price</v>
      </c>
      <c r="C18" s="13"/>
      <c r="D18" s="6">
        <v>1210</v>
      </c>
      <c r="E18" s="6">
        <v>1207</v>
      </c>
      <c r="F18" s="6">
        <v>1235</v>
      </c>
      <c r="G18" s="6">
        <v>1239</v>
      </c>
      <c r="H18" s="6">
        <v>1237</v>
      </c>
      <c r="I18" s="6">
        <v>1242</v>
      </c>
      <c r="J18" s="6">
        <v>1238</v>
      </c>
      <c r="K18" s="6">
        <v>1245</v>
      </c>
      <c r="L18" s="6">
        <v>1237</v>
      </c>
      <c r="M18" s="6">
        <v>1243</v>
      </c>
      <c r="N18" s="6">
        <v>1240</v>
      </c>
      <c r="O18" s="6">
        <v>1239</v>
      </c>
      <c r="P18" s="7">
        <f>IF(_xlfn.XLOOKUP($B18,Actuals!$B$7:$B$13,Actuals!$G$7:$G$13,"")="Average",AVERAGE(D18:O18),SUM(D18:O18))</f>
        <v>1234.3333333333333</v>
      </c>
      <c r="Q18" s="8">
        <v>1250</v>
      </c>
      <c r="R18" s="8">
        <f t="shared" ref="R18:Z19" si="4">E18</f>
        <v>1207</v>
      </c>
      <c r="S18" s="8">
        <f t="shared" si="4"/>
        <v>1235</v>
      </c>
      <c r="T18" s="8">
        <f t="shared" si="4"/>
        <v>1239</v>
      </c>
      <c r="U18" s="8">
        <f t="shared" si="4"/>
        <v>1237</v>
      </c>
      <c r="V18" s="8">
        <f t="shared" si="4"/>
        <v>1242</v>
      </c>
      <c r="W18" s="8">
        <f t="shared" si="4"/>
        <v>1238</v>
      </c>
      <c r="X18" s="8">
        <f t="shared" si="4"/>
        <v>1245</v>
      </c>
      <c r="Y18" s="8">
        <f t="shared" si="4"/>
        <v>1237</v>
      </c>
      <c r="Z18" s="8">
        <f t="shared" si="4"/>
        <v>1243</v>
      </c>
      <c r="AA18" s="8">
        <f>N18*0.9</f>
        <v>1116</v>
      </c>
      <c r="AB18" s="8">
        <f>O18*0.9</f>
        <v>1115.1000000000001</v>
      </c>
      <c r="AC18" s="7">
        <f>IF(COUNT(Q18:AB18)=0,"",IF(_xlfn.XLOOKUP($B18,Actuals!$B$7:$B$13,Actuals!$G$7:$G$13,"")="Average",AVERAGE(Q18:AB18),SUM(Q18:AB18)))</f>
        <v>1217.0083333333334</v>
      </c>
      <c r="AD18" s="12" t="s">
        <v>123</v>
      </c>
    </row>
    <row r="19" spans="2:30" ht="24.95" customHeight="1" x14ac:dyDescent="0.2">
      <c r="B19" s="3" t="str">
        <v>Unit cost</v>
      </c>
      <c r="C19" s="13"/>
      <c r="D19" s="6">
        <v>738</v>
      </c>
      <c r="E19" s="6">
        <v>739</v>
      </c>
      <c r="F19" s="6">
        <v>747</v>
      </c>
      <c r="G19" s="6">
        <v>744</v>
      </c>
      <c r="H19" s="6">
        <v>754</v>
      </c>
      <c r="I19" s="6">
        <v>749</v>
      </c>
      <c r="J19" s="6">
        <v>751</v>
      </c>
      <c r="K19" s="6">
        <v>761</v>
      </c>
      <c r="L19" s="6">
        <v>759</v>
      </c>
      <c r="M19" s="6">
        <v>754</v>
      </c>
      <c r="N19" s="6">
        <v>757</v>
      </c>
      <c r="O19" s="6">
        <v>762</v>
      </c>
      <c r="P19" s="7">
        <f>IF(_xlfn.XLOOKUP($B19,Actuals!$B$7:$B$13,Actuals!$G$7:$G$13,"")="Average",AVERAGE(D19:O19),SUM(D19:O19))</f>
        <v>751.25</v>
      </c>
      <c r="Q19" s="8">
        <f>D19</f>
        <v>738</v>
      </c>
      <c r="R19" s="8">
        <f t="shared" si="4"/>
        <v>739</v>
      </c>
      <c r="S19" s="8">
        <f t="shared" si="4"/>
        <v>747</v>
      </c>
      <c r="T19" s="8">
        <f t="shared" si="4"/>
        <v>744</v>
      </c>
      <c r="U19" s="8">
        <f t="shared" si="4"/>
        <v>754</v>
      </c>
      <c r="V19" s="8">
        <f t="shared" si="4"/>
        <v>749</v>
      </c>
      <c r="W19" s="8">
        <f t="shared" si="4"/>
        <v>751</v>
      </c>
      <c r="X19" s="8">
        <f t="shared" si="4"/>
        <v>761</v>
      </c>
      <c r="Y19" s="8">
        <f t="shared" si="4"/>
        <v>759</v>
      </c>
      <c r="Z19" s="8">
        <f t="shared" si="4"/>
        <v>754</v>
      </c>
      <c r="AA19" s="8">
        <f>N19</f>
        <v>757</v>
      </c>
      <c r="AB19" s="8">
        <f>O19</f>
        <v>762</v>
      </c>
      <c r="AC19" s="7">
        <f>IF(COUNT(Q19:AB19)=0,"",IF(_xlfn.XLOOKUP($B19,Actuals!$B$7:$B$13,Actuals!$G$7:$G$13,"")="Average",AVERAGE(Q19:AB19),SUM(Q19:AB19)))</f>
        <v>751.25</v>
      </c>
      <c r="AD19" s="12" t="s">
        <v>124</v>
      </c>
    </row>
    <row r="20" spans="2:30" ht="24.95" customHeight="1" x14ac:dyDescent="0.2">
      <c r="B20" s="3"/>
      <c r="C20" s="13"/>
      <c r="D20" s="6"/>
      <c r="E20" s="6"/>
      <c r="F20" s="6"/>
      <c r="G20" s="6"/>
      <c r="H20" s="6"/>
      <c r="I20" s="6"/>
      <c r="J20" s="6"/>
      <c r="K20" s="6"/>
      <c r="L20" s="6"/>
      <c r="M20" s="6"/>
      <c r="N20" s="6"/>
      <c r="O20" s="6"/>
      <c r="P20" s="7">
        <f>IF(_xlfn.XLOOKUP($B20,Actuals!$B$7:$B$13,Actuals!$G$7:$G$13,"")="Average",AVERAGE(D20:O20),SUM(D20:O20))</f>
        <v>0</v>
      </c>
      <c r="Q20" s="8"/>
      <c r="R20" s="8"/>
      <c r="S20" s="8"/>
      <c r="T20" s="8"/>
      <c r="U20" s="8"/>
      <c r="V20" s="8"/>
      <c r="W20" s="8"/>
      <c r="X20" s="8"/>
      <c r="Y20" s="8"/>
      <c r="Z20" s="8"/>
      <c r="AA20" s="8"/>
      <c r="AB20" s="8"/>
      <c r="AC20" s="7" t="str">
        <f>IF(COUNT(Q20:AB20)=0,"",IF(_xlfn.XLOOKUP($B20,Actuals!$B$7:$B$13,Actuals!$G$7:$G$13,"")="Average",AVERAGE(Q20:AB20),SUM(Q20:AB20)))</f>
        <v/>
      </c>
      <c r="AD20" s="12"/>
    </row>
    <row r="21" spans="2:30" ht="24.95" customHeight="1" x14ac:dyDescent="0.2">
      <c r="B21" s="3"/>
      <c r="C21" s="13"/>
      <c r="D21" s="6"/>
      <c r="E21" s="6"/>
      <c r="F21" s="6"/>
      <c r="G21" s="6"/>
      <c r="H21" s="6"/>
      <c r="I21" s="6"/>
      <c r="J21" s="6"/>
      <c r="K21" s="6"/>
      <c r="L21" s="6"/>
      <c r="M21" s="6"/>
      <c r="N21" s="6"/>
      <c r="O21" s="6"/>
      <c r="P21" s="7">
        <f>IF(_xlfn.XLOOKUP($B21,Actuals!$B$7:$B$13,Actuals!$G$7:$G$13,"")="Average",AVERAGE(D21:O21),SUM(D21:O21))</f>
        <v>0</v>
      </c>
      <c r="Q21" s="8"/>
      <c r="R21" s="8"/>
      <c r="S21" s="8"/>
      <c r="T21" s="8"/>
      <c r="U21" s="8"/>
      <c r="V21" s="8"/>
      <c r="W21" s="8"/>
      <c r="X21" s="8"/>
      <c r="Y21" s="8"/>
      <c r="Z21" s="8"/>
      <c r="AA21" s="8"/>
      <c r="AB21" s="8"/>
      <c r="AC21" s="7" t="str">
        <f>IF(COUNT(Q21:AB21)=0,"",IF(_xlfn.XLOOKUP($B21,Actuals!$B$7:$B$13,Actuals!$G$7:$G$13,"")="Average",AVERAGE(Q21:AB21),SUM(Q21:AB21)))</f>
        <v/>
      </c>
      <c r="AD21" s="12"/>
    </row>
    <row r="22" spans="2:30" ht="24.95" customHeight="1" x14ac:dyDescent="0.2">
      <c r="B22" s="3"/>
      <c r="C22" s="13"/>
      <c r="D22" s="29"/>
      <c r="E22" s="29"/>
      <c r="F22" s="29"/>
      <c r="G22" s="29"/>
      <c r="H22" s="29"/>
      <c r="I22" s="29"/>
      <c r="J22" s="29"/>
      <c r="K22" s="29"/>
      <c r="L22" s="29"/>
      <c r="M22" s="29"/>
      <c r="N22" s="29"/>
      <c r="O22" s="29"/>
      <c r="P22" s="30">
        <f>IF(_xlfn.XLOOKUP($B22,Actuals!$B$7:$B$13,Actuals!$G$7:$G$13,"")="Average",AVERAGE(D22:O22),SUM(D22:O22))</f>
        <v>0</v>
      </c>
      <c r="Q22" s="8"/>
      <c r="R22" s="8"/>
      <c r="S22" s="8"/>
      <c r="T22" s="8"/>
      <c r="U22" s="8"/>
      <c r="V22" s="8"/>
      <c r="W22" s="8"/>
      <c r="X22" s="8"/>
      <c r="Y22" s="8"/>
      <c r="Z22" s="8"/>
      <c r="AA22" s="8"/>
      <c r="AB22" s="8"/>
      <c r="AC22" s="30" t="str">
        <f>IF(COUNT(Q22:AB22)=0,"",IF(_xlfn.XLOOKUP($B22,Actuals!$B$7:$B$13,Actuals!$G$7:$G$13,"")="Average",AVERAGE(Q22:AB22),SUM(Q22:AB22)))</f>
        <v/>
      </c>
      <c r="AD22" s="12"/>
    </row>
    <row r="23" spans="2:30" ht="24.95" customHeight="1" x14ac:dyDescent="0.2">
      <c r="B23" s="3"/>
      <c r="C23" s="13"/>
      <c r="D23" s="25"/>
      <c r="E23" s="25"/>
      <c r="F23" s="25"/>
      <c r="G23" s="25"/>
      <c r="H23" s="25"/>
      <c r="I23" s="25"/>
      <c r="J23" s="25"/>
      <c r="K23" s="25"/>
      <c r="L23" s="25"/>
      <c r="M23" s="25"/>
      <c r="N23" s="25"/>
      <c r="O23" s="25"/>
      <c r="P23" s="24"/>
      <c r="Q23" s="8"/>
      <c r="R23" s="8"/>
      <c r="S23" s="8"/>
      <c r="T23" s="8"/>
      <c r="U23" s="8"/>
      <c r="V23" s="8"/>
      <c r="W23" s="8"/>
      <c r="X23" s="8"/>
      <c r="Y23" s="8"/>
      <c r="Z23" s="8"/>
      <c r="AA23" s="8"/>
      <c r="AB23" s="8"/>
      <c r="AC23" s="7"/>
      <c r="AD23" s="12"/>
    </row>
    <row r="25" spans="2:30" ht="21.75" customHeight="1" x14ac:dyDescent="0.2">
      <c r="B25" s="4" t="s">
        <v>47</v>
      </c>
      <c r="C25" s="4"/>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2:30" ht="24.95" customHeight="1" x14ac:dyDescent="0.2">
      <c r="B26" s="16" t="s">
        <v>23</v>
      </c>
      <c r="C26" s="16"/>
      <c r="D26" s="6">
        <f>Actuals!AG16</f>
        <v>693840</v>
      </c>
      <c r="E26" s="6">
        <f>Actuals!AH16</f>
        <v>753948</v>
      </c>
      <c r="F26" s="6">
        <f>Actuals!AI16</f>
        <v>900360</v>
      </c>
      <c r="G26" s="6">
        <f>Actuals!AJ16</f>
        <v>947925</v>
      </c>
      <c r="H26" s="6">
        <f>Actuals!AK16</f>
        <v>958755</v>
      </c>
      <c r="I26" s="6">
        <f>Actuals!AL16</f>
        <v>971210</v>
      </c>
      <c r="J26" s="6">
        <f>Actuals!AM16</f>
        <v>832283</v>
      </c>
      <c r="K26" s="6">
        <f>Actuals!AN16</f>
        <v>851840</v>
      </c>
      <c r="L26" s="6">
        <f>Actuals!AO16</f>
        <v>926364</v>
      </c>
      <c r="M26" s="6">
        <f>Actuals!AP16</f>
        <v>992670</v>
      </c>
      <c r="N26" s="6">
        <f>Actuals!AQ16</f>
        <v>909006</v>
      </c>
      <c r="O26" s="6">
        <f>Actuals!AR16</f>
        <v>740304</v>
      </c>
      <c r="P26" s="7">
        <f t="shared" ref="P26:P31" si="5">SUM(D26:O26)</f>
        <v>10478505</v>
      </c>
      <c r="Q26" s="54" cm="1">
        <f t="array" ref="Q26">TargetBase*(1+Intercept+SUMPRODUCT(Effects,IF(DriverBase="",0,Q17:Q23/IF(DriverBase="",1,DriverBase)-1)))</f>
        <v>762679.47915433883</v>
      </c>
      <c r="R26" s="54" cm="1">
        <f t="array" ref="R26">TargetBase*(1+Intercept+SUMPRODUCT(Effects,IF(DriverBase="",0,R17:R23/IF(DriverBase="",1,DriverBase)-1)))</f>
        <v>754487.59399480349</v>
      </c>
      <c r="S26" s="54" cm="1">
        <f t="array" ref="S26">TargetBase*(1+Intercept+SUMPRODUCT(Effects,IF(DriverBase="",0,S17:S23/IF(DriverBase="",1,DriverBase)-1)))</f>
        <v>900068.30292342999</v>
      </c>
      <c r="T26" s="54" cm="1">
        <f t="array" ref="T26">TargetBase*(1+Intercept+SUMPRODUCT(Effects,IF(DriverBase="",0,T17:T23/IF(DriverBase="",1,DriverBase)-1)))</f>
        <v>945168.00309397397</v>
      </c>
      <c r="U26" s="54" cm="1">
        <f t="array" ref="U26">TargetBase*(1+Intercept+SUMPRODUCT(Effects,IF(DriverBase="",0,U17:U23/IF(DriverBase="",1,DriverBase)-1)))</f>
        <v>958253.92228279205</v>
      </c>
      <c r="V26" s="54" cm="1">
        <f t="array" ref="V26">TargetBase*(1+Intercept+SUMPRODUCT(Effects,IF(DriverBase="",0,V17:V23/IF(DriverBase="",1,DriverBase)-1)))</f>
        <v>968044.0823339005</v>
      </c>
      <c r="W26" s="54" cm="1">
        <f t="array" ref="W26">TargetBase*(1+Intercept+SUMPRODUCT(Effects,IF(DriverBase="",0,W17:W23/IF(DriverBase="",1,DriverBase)-1)))</f>
        <v>833913.11623766634</v>
      </c>
      <c r="X26" s="54" cm="1">
        <f t="array" ref="X26">TargetBase*(1+Intercept+SUMPRODUCT(Effects,IF(DriverBase="",0,X17:X23/IF(DriverBase="",1,DriverBase)-1)))</f>
        <v>853355.19313397934</v>
      </c>
      <c r="Y26" s="54" cm="1">
        <f t="array" ref="Y26">TargetBase*(1+Intercept+SUMPRODUCT(Effects,IF(DriverBase="",0,Y17:Y23/IF(DriverBase="",1,DriverBase)-1)))</f>
        <v>927564.18600642553</v>
      </c>
      <c r="Z26" s="54" cm="1">
        <f t="array" ref="Z26">TargetBase*(1+Intercept+SUMPRODUCT(Effects,IF(DriverBase="",0,Z17:Z23/IF(DriverBase="",1,DriverBase)-1)))</f>
        <v>989877.04585143947</v>
      </c>
      <c r="AA26" s="54" cm="1">
        <f t="array" ref="AA26">TargetBase*(1+Intercept+SUMPRODUCT(Effects,IF(DriverBase="",0,AA17:AA23/IF(DriverBase="",1,DriverBase)-1)))</f>
        <v>920991.9119895224</v>
      </c>
      <c r="AB26" s="54" cm="1">
        <f t="array" ref="AB26">TargetBase*(1+Intercept+SUMPRODUCT(Effects,IF(DriverBase="",0,AB17:AB23/IF(DriverBase="",1,DriverBase)-1)))</f>
        <v>715189.66911063995</v>
      </c>
      <c r="AC26" s="7">
        <f t="shared" ref="AC26:AC31" si="6">SUM(Q26:AB26)</f>
        <v>10529592.506112911</v>
      </c>
      <c r="AD26" s="12"/>
    </row>
    <row r="27" spans="2:30" ht="24.95" customHeight="1" x14ac:dyDescent="0.2">
      <c r="B27" s="17" t="str">
        <f>Actuals!$B17</f>
        <v>Product Revenue</v>
      </c>
      <c r="C27" s="13"/>
      <c r="D27" s="6">
        <f>Actuals!AG17</f>
        <v>1442729</v>
      </c>
      <c r="E27" s="6">
        <f>Actuals!AH17</f>
        <v>1594221</v>
      </c>
      <c r="F27" s="6">
        <f>Actuals!AI17</f>
        <v>1878989</v>
      </c>
      <c r="G27" s="6">
        <f>Actuals!AJ17</f>
        <v>1959269</v>
      </c>
      <c r="H27" s="6">
        <f>Actuals!AK17</f>
        <v>1996240</v>
      </c>
      <c r="I27" s="6">
        <f>Actuals!AL17</f>
        <v>2004034</v>
      </c>
      <c r="J27" s="6">
        <f>Actuals!AM17</f>
        <v>1755051</v>
      </c>
      <c r="K27" s="6">
        <f>Actuals!AN17</f>
        <v>1806842</v>
      </c>
      <c r="L27" s="6">
        <f>Actuals!AO17</f>
        <v>1961178</v>
      </c>
      <c r="M27" s="6">
        <f>Actuals!AP17</f>
        <v>2093745</v>
      </c>
      <c r="N27" s="6">
        <f>Actuals!AQ17</f>
        <v>1913586</v>
      </c>
      <c r="O27" s="6">
        <f>Actuals!AR17</f>
        <v>1568044</v>
      </c>
      <c r="P27" s="7">
        <f t="shared" si="5"/>
        <v>21973928</v>
      </c>
      <c r="Q27" s="6">
        <f t="shared" ref="Q27:AB31" si="7">IF(D$26=0,0,D27/D$26)*Q$26</f>
        <v>1585869.6562332239</v>
      </c>
      <c r="R27" s="6">
        <f t="shared" si="7"/>
        <v>1595361.9700377076</v>
      </c>
      <c r="S27" s="6">
        <f t="shared" si="7"/>
        <v>1878380.2483915244</v>
      </c>
      <c r="T27" s="6">
        <f t="shared" si="7"/>
        <v>1953570.5549003636</v>
      </c>
      <c r="U27" s="6">
        <f t="shared" si="7"/>
        <v>1995196.6976107566</v>
      </c>
      <c r="V27" s="6">
        <f t="shared" si="7"/>
        <v>1997501.3174245898</v>
      </c>
      <c r="W27" s="6">
        <f t="shared" si="7"/>
        <v>1758488.4571306068</v>
      </c>
      <c r="X27" s="6">
        <f t="shared" si="7"/>
        <v>1810055.8835844588</v>
      </c>
      <c r="Y27" s="6">
        <f t="shared" si="7"/>
        <v>1963718.8785225996</v>
      </c>
      <c r="Z27" s="6">
        <f t="shared" si="7"/>
        <v>2087854.0858152481</v>
      </c>
      <c r="AA27" s="6">
        <f t="shared" si="7"/>
        <v>1938818.0373907124</v>
      </c>
      <c r="AB27" s="6">
        <f t="shared" si="7"/>
        <v>1514849.1288861393</v>
      </c>
      <c r="AC27" s="7">
        <f t="shared" si="6"/>
        <v>22079664.915927932</v>
      </c>
      <c r="AD27" s="12"/>
    </row>
    <row r="28" spans="2:30" ht="24.95" customHeight="1" x14ac:dyDescent="0.2">
      <c r="B28" s="17" t="str">
        <f>Actuals!$B18</f>
        <v>Service Revenue</v>
      </c>
      <c r="C28" s="13"/>
      <c r="D28" s="6">
        <f>Actuals!AG18</f>
        <v>335971</v>
      </c>
      <c r="E28" s="6">
        <f>Actuals!AH18</f>
        <v>350256</v>
      </c>
      <c r="F28" s="6">
        <f>Actuals!AI18</f>
        <v>399586</v>
      </c>
      <c r="G28" s="6">
        <f>Actuals!AJ18</f>
        <v>413416</v>
      </c>
      <c r="H28" s="6">
        <f>Actuals!AK18</f>
        <v>459205</v>
      </c>
      <c r="I28" s="6">
        <f>Actuals!AL18</f>
        <v>442706</v>
      </c>
      <c r="J28" s="6">
        <f>Actuals!AM18</f>
        <v>360691</v>
      </c>
      <c r="K28" s="6">
        <f>Actuals!AN18</f>
        <v>384358</v>
      </c>
      <c r="L28" s="6">
        <f>Actuals!AO18</f>
        <v>436128</v>
      </c>
      <c r="M28" s="6">
        <f>Actuals!AP18</f>
        <v>429545</v>
      </c>
      <c r="N28" s="6">
        <f>Actuals!AQ18</f>
        <v>420094</v>
      </c>
      <c r="O28" s="6">
        <f>Actuals!AR18</f>
        <v>354884</v>
      </c>
      <c r="P28" s="7">
        <f t="shared" si="5"/>
        <v>4786840</v>
      </c>
      <c r="Q28" s="6">
        <f t="shared" si="7"/>
        <v>369304.43227683957</v>
      </c>
      <c r="R28" s="6">
        <f t="shared" si="7"/>
        <v>350506.67515829194</v>
      </c>
      <c r="S28" s="6">
        <f t="shared" si="7"/>
        <v>399456.54281838564</v>
      </c>
      <c r="T28" s="6">
        <f t="shared" si="7"/>
        <v>412213.59829849232</v>
      </c>
      <c r="U28" s="6">
        <f t="shared" si="7"/>
        <v>458965.0039706385</v>
      </c>
      <c r="V28" s="6">
        <f t="shared" si="7"/>
        <v>441262.88188312697</v>
      </c>
      <c r="W28" s="6">
        <f t="shared" si="7"/>
        <v>361397.4523195597</v>
      </c>
      <c r="X28" s="6">
        <f t="shared" si="7"/>
        <v>385041.66900191357</v>
      </c>
      <c r="Y28" s="6">
        <f t="shared" si="7"/>
        <v>436693.04216766881</v>
      </c>
      <c r="Z28" s="6">
        <f t="shared" si="7"/>
        <v>428336.44177849288</v>
      </c>
      <c r="AA28" s="6">
        <f t="shared" si="7"/>
        <v>425633.24804822676</v>
      </c>
      <c r="AB28" s="6">
        <f t="shared" si="7"/>
        <v>342844.79150816466</v>
      </c>
      <c r="AC28" s="7">
        <f t="shared" si="6"/>
        <v>4811655.7792298002</v>
      </c>
      <c r="AD28" s="12"/>
    </row>
    <row r="29" spans="2:30" ht="24.95" customHeight="1" x14ac:dyDescent="0.2">
      <c r="B29" s="17" t="str">
        <f>Actuals!$B19</f>
        <v>Materials</v>
      </c>
      <c r="C29" s="13"/>
      <c r="D29" s="6">
        <f>Actuals!AG19</f>
        <v>681641</v>
      </c>
      <c r="E29" s="6">
        <f>Actuals!AH19</f>
        <v>746186</v>
      </c>
      <c r="F29" s="6">
        <f>Actuals!AI19</f>
        <v>866892</v>
      </c>
      <c r="G29" s="6">
        <f>Actuals!AJ19</f>
        <v>872142</v>
      </c>
      <c r="H29" s="6">
        <f>Actuals!AK19</f>
        <v>938267</v>
      </c>
      <c r="I29" s="6">
        <f>Actuals!AL19</f>
        <v>929563</v>
      </c>
      <c r="J29" s="6">
        <f>Actuals!AM19</f>
        <v>794552</v>
      </c>
      <c r="K29" s="6">
        <f>Actuals!AN19</f>
        <v>829842</v>
      </c>
      <c r="L29" s="6">
        <f>Actuals!AO19</f>
        <v>901585</v>
      </c>
      <c r="M29" s="6">
        <f>Actuals!AP19</f>
        <v>963060</v>
      </c>
      <c r="N29" s="6">
        <f>Actuals!AQ19</f>
        <v>878696</v>
      </c>
      <c r="O29" s="6">
        <f>Actuals!AR19</f>
        <v>739897</v>
      </c>
      <c r="P29" s="7">
        <f t="shared" si="5"/>
        <v>10142323</v>
      </c>
      <c r="Q29" s="6">
        <f t="shared" si="7"/>
        <v>749270.15284538607</v>
      </c>
      <c r="R29" s="6">
        <f t="shared" si="7"/>
        <v>746720.03879923606</v>
      </c>
      <c r="S29" s="6">
        <f t="shared" si="7"/>
        <v>866611.14582822204</v>
      </c>
      <c r="T29" s="6">
        <f t="shared" si="7"/>
        <v>869605.41451526713</v>
      </c>
      <c r="U29" s="6">
        <f t="shared" si="7"/>
        <v>937776.6300029814</v>
      </c>
      <c r="V29" s="6">
        <f t="shared" si="7"/>
        <v>926532.84182262071</v>
      </c>
      <c r="W29" s="6">
        <f t="shared" si="7"/>
        <v>796108.21599488426</v>
      </c>
      <c r="X29" s="6">
        <f t="shared" si="7"/>
        <v>831318.06463735877</v>
      </c>
      <c r="Y29" s="6">
        <f t="shared" si="7"/>
        <v>902753.08263339591</v>
      </c>
      <c r="Z29" s="6">
        <f t="shared" si="7"/>
        <v>960350.3558863342</v>
      </c>
      <c r="AA29" s="6">
        <f t="shared" si="7"/>
        <v>890282.25236967125</v>
      </c>
      <c r="AB29" s="6">
        <f t="shared" si="7"/>
        <v>714796.47632047802</v>
      </c>
      <c r="AC29" s="7">
        <f t="shared" si="6"/>
        <v>10192124.671655836</v>
      </c>
      <c r="AD29" s="12"/>
    </row>
    <row r="30" spans="2:30" ht="24.95" customHeight="1" x14ac:dyDescent="0.2">
      <c r="B30" s="17" t="str">
        <f>Actuals!$B20</f>
        <v>Freight and duties</v>
      </c>
      <c r="C30" s="13"/>
      <c r="D30" s="6">
        <f>Actuals!AG20</f>
        <v>114265</v>
      </c>
      <c r="E30" s="6">
        <f>Actuals!AH20</f>
        <v>126560</v>
      </c>
      <c r="F30" s="6">
        <f>Actuals!AI20</f>
        <v>153401</v>
      </c>
      <c r="G30" s="6">
        <f>Actuals!AJ20</f>
        <v>155791</v>
      </c>
      <c r="H30" s="6">
        <f>Actuals!AK20</f>
        <v>161565</v>
      </c>
      <c r="I30" s="6">
        <f>Actuals!AL20</f>
        <v>167506</v>
      </c>
      <c r="J30" s="6">
        <f>Actuals!AM20</f>
        <v>141029</v>
      </c>
      <c r="K30" s="6">
        <f>Actuals!AN20</f>
        <v>144531</v>
      </c>
      <c r="L30" s="6">
        <f>Actuals!AO20</f>
        <v>159994</v>
      </c>
      <c r="M30" s="6">
        <f>Actuals!AP20</f>
        <v>170312</v>
      </c>
      <c r="N30" s="6">
        <f>Actuals!AQ20</f>
        <v>150861</v>
      </c>
      <c r="O30" s="6">
        <f>Actuals!AR20</f>
        <v>134433</v>
      </c>
      <c r="P30" s="7">
        <f t="shared" si="5"/>
        <v>1780248</v>
      </c>
      <c r="Q30" s="6">
        <f t="shared" si="7"/>
        <v>125601.82561623793</v>
      </c>
      <c r="R30" s="6">
        <f t="shared" si="7"/>
        <v>126650.5778859846</v>
      </c>
      <c r="S30" s="6">
        <f t="shared" si="7"/>
        <v>153351.30140916642</v>
      </c>
      <c r="T30" s="6">
        <f t="shared" si="7"/>
        <v>155337.88893637503</v>
      </c>
      <c r="U30" s="6">
        <f t="shared" si="7"/>
        <v>161480.5606788171</v>
      </c>
      <c r="V30" s="6">
        <f t="shared" si="7"/>
        <v>166959.96957961959</v>
      </c>
      <c r="W30" s="6">
        <f t="shared" si="7"/>
        <v>141305.22054383165</v>
      </c>
      <c r="X30" s="6">
        <f t="shared" si="7"/>
        <v>144788.08158673832</v>
      </c>
      <c r="Y30" s="6">
        <f t="shared" si="7"/>
        <v>160201.28629341387</v>
      </c>
      <c r="Z30" s="6">
        <f t="shared" si="7"/>
        <v>169832.81395937255</v>
      </c>
      <c r="AA30" s="6">
        <f t="shared" si="7"/>
        <v>152850.21312802265</v>
      </c>
      <c r="AB30" s="6">
        <f t="shared" si="7"/>
        <v>129872.44805856873</v>
      </c>
      <c r="AC30" s="7">
        <f t="shared" si="6"/>
        <v>1788232.1876761483</v>
      </c>
      <c r="AD30" s="12"/>
    </row>
    <row r="31" spans="2:30" ht="24.95" customHeight="1" x14ac:dyDescent="0.2">
      <c r="B31" s="17" t="str">
        <f>Actuals!$B21</f>
        <v>Direct labour</v>
      </c>
      <c r="C31" s="13"/>
      <c r="D31" s="6">
        <f>Actuals!AG21</f>
        <v>288954</v>
      </c>
      <c r="E31" s="6">
        <f>Actuals!AH21</f>
        <v>317783</v>
      </c>
      <c r="F31" s="6">
        <f>Actuals!AI21</f>
        <v>357922</v>
      </c>
      <c r="G31" s="6">
        <f>Actuals!AJ21</f>
        <v>396827</v>
      </c>
      <c r="H31" s="6">
        <f>Actuals!AK21</f>
        <v>396858</v>
      </c>
      <c r="I31" s="6">
        <f>Actuals!AL21</f>
        <v>378461</v>
      </c>
      <c r="J31" s="6">
        <f>Actuals!AM21</f>
        <v>347878</v>
      </c>
      <c r="K31" s="6">
        <f>Actuals!AN21</f>
        <v>364987</v>
      </c>
      <c r="L31" s="6">
        <f>Actuals!AO21</f>
        <v>409363</v>
      </c>
      <c r="M31" s="6">
        <f>Actuals!AP21</f>
        <v>397248</v>
      </c>
      <c r="N31" s="6">
        <f>Actuals!AQ21</f>
        <v>395117</v>
      </c>
      <c r="O31" s="6">
        <f>Actuals!AR21</f>
        <v>308294</v>
      </c>
      <c r="P31" s="7">
        <f t="shared" si="5"/>
        <v>4359692</v>
      </c>
      <c r="Q31" s="6">
        <f t="shared" si="7"/>
        <v>317622.6308941007</v>
      </c>
      <c r="R31" s="6">
        <f t="shared" si="7"/>
        <v>318010.43451597542</v>
      </c>
      <c r="S31" s="6">
        <f t="shared" si="7"/>
        <v>357806.04104909138</v>
      </c>
      <c r="T31" s="6">
        <f t="shared" si="7"/>
        <v>395672.84665323986</v>
      </c>
      <c r="U31" s="6">
        <f t="shared" si="7"/>
        <v>396650.58861680439</v>
      </c>
      <c r="V31" s="6">
        <f t="shared" si="7"/>
        <v>377227.305571576</v>
      </c>
      <c r="W31" s="6">
        <f t="shared" si="7"/>
        <v>348559.35667378391</v>
      </c>
      <c r="X31" s="6">
        <f t="shared" si="7"/>
        <v>365636.21322829602</v>
      </c>
      <c r="Y31" s="6">
        <f t="shared" si="7"/>
        <v>409893.36575703329</v>
      </c>
      <c r="Z31" s="6">
        <f t="shared" si="7"/>
        <v>396130.31189659471</v>
      </c>
      <c r="AA31" s="6">
        <f t="shared" si="7"/>
        <v>400326.9079517232</v>
      </c>
      <c r="AB31" s="6">
        <f t="shared" si="7"/>
        <v>297835.32690461708</v>
      </c>
      <c r="AC31" s="7">
        <f t="shared" si="6"/>
        <v>4381371.3297128361</v>
      </c>
      <c r="AD31" s="12"/>
    </row>
    <row r="32" spans="2:30" ht="26.25" customHeight="1" x14ac:dyDescent="0.2"/>
    <row r="33" ht="26.25" customHeight="1" x14ac:dyDescent="0.2"/>
    <row r="34" ht="26.25" customHeight="1" x14ac:dyDescent="0.2"/>
    <row r="35" ht="26.25" customHeight="1" x14ac:dyDescent="0.2"/>
    <row r="36" ht="26.25" customHeight="1" x14ac:dyDescent="0.2"/>
    <row r="37" ht="26.25" customHeight="1"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6167-59EC-444B-B4A7-B8B17CB34BDD}">
  <sheetPr>
    <tabColor theme="3" tint="0.39997558519241921"/>
  </sheetPr>
  <dimension ref="A1:AE37"/>
  <sheetViews>
    <sheetView showRowColHeaders="0" zoomScaleNormal="100" workbookViewId="0"/>
  </sheetViews>
  <sheetFormatPr defaultColWidth="12.7109375" defaultRowHeight="15.95" customHeight="1" outlineLevelCol="1" x14ac:dyDescent="0.2"/>
  <cols>
    <col min="1" max="1" width="2.7109375" customWidth="1" collapsed="1"/>
    <col min="2" max="2" width="31.42578125" customWidth="1" collapsed="1"/>
    <col min="3" max="3" width="13.7109375" customWidth="1"/>
    <col min="4" max="15" width="11.7109375" hidden="1" customWidth="1" outlineLevel="1" collapsed="1"/>
    <col min="16" max="16" width="12.7109375" collapsed="1"/>
    <col min="17" max="28" width="11.7109375" customWidth="1" outlineLevel="1" collapsed="1"/>
    <col min="30" max="30" width="42.85546875" customWidth="1"/>
    <col min="31" max="31" width="2.7109375" customWidth="1" collapsed="1"/>
    <col min="32" max="32" width="0" hidden="1" customWidth="1"/>
    <col min="34" max="47" width="0" hidden="1" customWidth="1"/>
  </cols>
  <sheetData>
    <row r="1" spans="1:31" ht="24.95" customHeight="1" x14ac:dyDescent="0.2">
      <c r="A1" s="5"/>
      <c r="B1" s="5" t="s">
        <v>32</v>
      </c>
      <c r="C1" s="5"/>
      <c r="D1" s="5"/>
      <c r="E1" s="5"/>
      <c r="F1" s="5"/>
      <c r="G1" s="5"/>
      <c r="H1" s="5"/>
      <c r="I1" s="5"/>
      <c r="J1" s="5"/>
      <c r="K1" s="5"/>
      <c r="L1" s="5"/>
      <c r="M1" s="5"/>
      <c r="N1" s="5"/>
      <c r="O1" s="5"/>
      <c r="P1" s="5"/>
      <c r="Q1" s="5"/>
      <c r="R1" s="5"/>
      <c r="S1" s="5"/>
      <c r="T1" s="5"/>
      <c r="U1" s="5"/>
      <c r="V1" s="5"/>
      <c r="W1" s="5"/>
      <c r="X1" s="5"/>
      <c r="Y1" s="5"/>
      <c r="Z1" s="5"/>
      <c r="AA1" s="5"/>
      <c r="AB1" s="5"/>
      <c r="AC1" s="5"/>
      <c r="AD1" s="5"/>
      <c r="AE1" s="5"/>
    </row>
    <row r="2" spans="1:31" ht="24.95" customHeight="1" x14ac:dyDescent="0.2">
      <c r="A2" s="2"/>
      <c r="B2" s="21" t="str">
        <f>C6&amp;" - top-down"</f>
        <v>Price held at $1,250, solve volume and cost - top-down</v>
      </c>
      <c r="C2" s="2"/>
      <c r="D2" s="2" t="s">
        <v>1</v>
      </c>
      <c r="E2" s="2" t="s">
        <v>1</v>
      </c>
      <c r="F2" s="2" t="s">
        <v>1</v>
      </c>
      <c r="G2" s="2" t="s">
        <v>1</v>
      </c>
      <c r="H2" s="2" t="s">
        <v>1</v>
      </c>
      <c r="I2" s="2" t="s">
        <v>1</v>
      </c>
      <c r="J2" s="2" t="s">
        <v>1</v>
      </c>
      <c r="K2" s="2" t="s">
        <v>1</v>
      </c>
      <c r="L2" s="2" t="s">
        <v>1</v>
      </c>
      <c r="M2" s="2" t="s">
        <v>1</v>
      </c>
      <c r="N2" s="2" t="s">
        <v>1</v>
      </c>
      <c r="O2" s="2" t="s">
        <v>1</v>
      </c>
      <c r="P2" s="10" t="s">
        <v>1</v>
      </c>
      <c r="Q2" s="2"/>
      <c r="R2" s="2"/>
      <c r="S2" s="2"/>
      <c r="T2" s="2"/>
      <c r="U2" s="2"/>
      <c r="V2" s="2"/>
      <c r="W2" s="2"/>
      <c r="X2" s="2"/>
      <c r="Y2" s="2"/>
      <c r="Z2" s="2"/>
      <c r="AA2" s="2"/>
      <c r="AB2" s="2"/>
      <c r="AC2" s="2"/>
      <c r="AD2" s="2"/>
      <c r="AE2" s="2"/>
    </row>
    <row r="3" spans="1:31" ht="20.100000000000001" customHeight="1" x14ac:dyDescent="0.2">
      <c r="A3" s="2"/>
      <c r="B3" s="21"/>
      <c r="C3" s="2"/>
      <c r="D3" s="2">
        <f>Actuals!$AU$3</f>
        <v>2026</v>
      </c>
      <c r="E3" s="2">
        <f>Actuals!$AU$3</f>
        <v>2026</v>
      </c>
      <c r="F3" s="2">
        <f>Actuals!$AU$3</f>
        <v>2026</v>
      </c>
      <c r="G3" s="2">
        <f>Actuals!$AU$3</f>
        <v>2026</v>
      </c>
      <c r="H3" s="2">
        <f>Actuals!$AU$3</f>
        <v>2026</v>
      </c>
      <c r="I3" s="2">
        <f>Actuals!$AU$3</f>
        <v>2026</v>
      </c>
      <c r="J3" s="2">
        <f>Actuals!$AU$3</f>
        <v>2026</v>
      </c>
      <c r="K3" s="2">
        <f>Actuals!$AU$3</f>
        <v>2026</v>
      </c>
      <c r="L3" s="2">
        <f>Actuals!$AU$3</f>
        <v>2026</v>
      </c>
      <c r="M3" s="2">
        <f>Actuals!$AU$3</f>
        <v>2026</v>
      </c>
      <c r="N3" s="2">
        <f>Actuals!$AU$3</f>
        <v>2026</v>
      </c>
      <c r="O3" s="2">
        <f>Actuals!$AU$3</f>
        <v>2026</v>
      </c>
      <c r="P3" s="10">
        <f>$O$3</f>
        <v>2026</v>
      </c>
      <c r="Q3" s="2">
        <f>$D$3+1</f>
        <v>2027</v>
      </c>
      <c r="R3" s="2">
        <f t="shared" ref="R3:AB3" si="0">$D$3+1</f>
        <v>2027</v>
      </c>
      <c r="S3" s="2">
        <f t="shared" si="0"/>
        <v>2027</v>
      </c>
      <c r="T3" s="2">
        <f t="shared" si="0"/>
        <v>2027</v>
      </c>
      <c r="U3" s="2">
        <f t="shared" si="0"/>
        <v>2027</v>
      </c>
      <c r="V3" s="2">
        <f t="shared" si="0"/>
        <v>2027</v>
      </c>
      <c r="W3" s="2">
        <f t="shared" si="0"/>
        <v>2027</v>
      </c>
      <c r="X3" s="2">
        <f t="shared" si="0"/>
        <v>2027</v>
      </c>
      <c r="Y3" s="2">
        <f t="shared" si="0"/>
        <v>2027</v>
      </c>
      <c r="Z3" s="2">
        <f t="shared" si="0"/>
        <v>2027</v>
      </c>
      <c r="AA3" s="2">
        <f t="shared" si="0"/>
        <v>2027</v>
      </c>
      <c r="AB3" s="2">
        <f t="shared" si="0"/>
        <v>2027</v>
      </c>
      <c r="AC3" s="10">
        <f>$AB$3</f>
        <v>2027</v>
      </c>
      <c r="AD3" s="2"/>
      <c r="AE3" s="2"/>
    </row>
    <row r="4" spans="1:31" ht="20.100000000000001" customHeight="1" x14ac:dyDescent="0.2">
      <c r="A4" s="2"/>
      <c r="B4" s="2"/>
      <c r="C4" s="2"/>
      <c r="D4" s="2" t="s">
        <v>3</v>
      </c>
      <c r="E4" s="2" t="s">
        <v>4</v>
      </c>
      <c r="F4" s="2" t="s">
        <v>5</v>
      </c>
      <c r="G4" s="2" t="s">
        <v>6</v>
      </c>
      <c r="H4" s="2" t="s">
        <v>7</v>
      </c>
      <c r="I4" s="2" t="s">
        <v>8</v>
      </c>
      <c r="J4" s="2" t="s">
        <v>9</v>
      </c>
      <c r="K4" s="2" t="s">
        <v>10</v>
      </c>
      <c r="L4" s="2" t="s">
        <v>11</v>
      </c>
      <c r="M4" s="2" t="s">
        <v>12</v>
      </c>
      <c r="N4" s="2" t="s">
        <v>13</v>
      </c>
      <c r="O4" s="2" t="s">
        <v>14</v>
      </c>
      <c r="P4" s="10" t="s">
        <v>0</v>
      </c>
      <c r="Q4" s="2" t="s">
        <v>3</v>
      </c>
      <c r="R4" s="2" t="s">
        <v>4</v>
      </c>
      <c r="S4" s="2" t="s">
        <v>5</v>
      </c>
      <c r="T4" s="2" t="s">
        <v>6</v>
      </c>
      <c r="U4" s="2" t="s">
        <v>7</v>
      </c>
      <c r="V4" s="2" t="s">
        <v>8</v>
      </c>
      <c r="W4" s="2" t="s">
        <v>9</v>
      </c>
      <c r="X4" s="2" t="s">
        <v>10</v>
      </c>
      <c r="Y4" s="2" t="s">
        <v>11</v>
      </c>
      <c r="Z4" s="2" t="s">
        <v>12</v>
      </c>
      <c r="AA4" s="2" t="s">
        <v>13</v>
      </c>
      <c r="AB4" s="2" t="s">
        <v>14</v>
      </c>
      <c r="AC4" s="10" t="s">
        <v>0</v>
      </c>
      <c r="AD4" s="10" t="s">
        <v>24</v>
      </c>
      <c r="AE4" s="2"/>
    </row>
    <row r="6" spans="1:31" ht="15.95" hidden="1" customHeight="1" x14ac:dyDescent="0.2">
      <c r="B6" s="3" t="s">
        <v>54</v>
      </c>
      <c r="C6" s="28" t="s">
        <v>125</v>
      </c>
    </row>
    <row r="7" spans="1:31" ht="15.95" hidden="1" customHeight="1" x14ac:dyDescent="0.2">
      <c r="B7" s="3" t="s">
        <v>40</v>
      </c>
      <c r="C7" s="28" t="s">
        <v>126</v>
      </c>
    </row>
    <row r="8" spans="1:31" ht="15.95" hidden="1" customHeight="1" x14ac:dyDescent="0.2">
      <c r="B8" s="3" t="s">
        <v>55</v>
      </c>
      <c r="C8" s="23" t="s">
        <v>60</v>
      </c>
    </row>
    <row r="9" spans="1:31" ht="15.95" hidden="1" customHeight="1" x14ac:dyDescent="0.2">
      <c r="B9" s="3" t="s">
        <v>2</v>
      </c>
      <c r="C9" s="23" t="s">
        <v>128</v>
      </c>
    </row>
    <row r="10" spans="1:31" ht="15.95" hidden="1" customHeight="1" x14ac:dyDescent="0.2">
      <c r="B10" s="3" t="s">
        <v>42</v>
      </c>
      <c r="C10" s="28" t="s">
        <v>59</v>
      </c>
    </row>
    <row r="11" spans="1:31" ht="15.95" hidden="1" customHeight="1" x14ac:dyDescent="0.2">
      <c r="B11" s="3" t="s">
        <v>56</v>
      </c>
      <c r="C11" s="23" t="s">
        <v>129</v>
      </c>
    </row>
    <row r="13" spans="1:31" ht="21.75" customHeight="1" x14ac:dyDescent="0.2">
      <c r="B13" s="4" t="s">
        <v>22</v>
      </c>
      <c r="C13" s="4"/>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1" ht="24.95" customHeight="1" x14ac:dyDescent="0.2">
      <c r="B14" s="16" t="str">
        <f>Actuals!$B$16</f>
        <v>Gross Margin</v>
      </c>
      <c r="C14" s="16"/>
      <c r="D14" s="6">
        <f>Actuals!AG$16</f>
        <v>693840</v>
      </c>
      <c r="E14" s="6">
        <f>Actuals!AH$16</f>
        <v>753948</v>
      </c>
      <c r="F14" s="6">
        <f>Actuals!AI$16</f>
        <v>900360</v>
      </c>
      <c r="G14" s="6">
        <f>Actuals!AJ$16</f>
        <v>947925</v>
      </c>
      <c r="H14" s="6">
        <f>Actuals!AK$16</f>
        <v>958755</v>
      </c>
      <c r="I14" s="6">
        <f>Actuals!AL$16</f>
        <v>971210</v>
      </c>
      <c r="J14" s="6">
        <f>Actuals!AM$16</f>
        <v>832283</v>
      </c>
      <c r="K14" s="6">
        <f>Actuals!AN$16</f>
        <v>851840</v>
      </c>
      <c r="L14" s="6">
        <f>Actuals!AO$16</f>
        <v>926364</v>
      </c>
      <c r="M14" s="6">
        <f>Actuals!AP$16</f>
        <v>992670</v>
      </c>
      <c r="N14" s="6">
        <f>Actuals!AQ$16</f>
        <v>909006</v>
      </c>
      <c r="O14" s="6">
        <f>Actuals!AR$16</f>
        <v>740304</v>
      </c>
      <c r="P14" s="7">
        <f>SUM(D14:O14)</f>
        <v>10478505</v>
      </c>
      <c r="Q14" s="28">
        <f>D14*(1+Frame!$C$20)</f>
        <v>797915.99999999988</v>
      </c>
      <c r="R14" s="28">
        <f>E14*(1+Frame!$C$20)</f>
        <v>867040.2</v>
      </c>
      <c r="S14" s="28">
        <f>F14*(1+Frame!$C$20)</f>
        <v>1035413.9999999999</v>
      </c>
      <c r="T14" s="28">
        <f>G14*(1+Frame!$C$20)</f>
        <v>1090113.75</v>
      </c>
      <c r="U14" s="28">
        <f>H14*(1+Frame!$C$20)</f>
        <v>1102568.25</v>
      </c>
      <c r="V14" s="28">
        <f>I14*(1+Frame!$C$20)</f>
        <v>1116891.5</v>
      </c>
      <c r="W14" s="28">
        <f>J14*(1+Frame!$C$20)</f>
        <v>957125.45</v>
      </c>
      <c r="X14" s="28">
        <f>K14*(1+Frame!$C$20)</f>
        <v>979615.99999999988</v>
      </c>
      <c r="Y14" s="28">
        <f>L14*(1+Frame!$C$20)</f>
        <v>1065318.5999999999</v>
      </c>
      <c r="Z14" s="28">
        <f>M14*(1+Frame!$C$20)</f>
        <v>1141570.5</v>
      </c>
      <c r="AA14" s="28">
        <f>N14*(1+Frame!$C$20)</f>
        <v>1045356.8999999999</v>
      </c>
      <c r="AB14" s="28">
        <f>O14*(1+Frame!$C$20)</f>
        <v>851349.6</v>
      </c>
      <c r="AC14" s="7">
        <f t="shared" ref="AC14" si="1">SUM(Q14:AB14)</f>
        <v>12050280.75</v>
      </c>
      <c r="AD14" s="12"/>
    </row>
    <row r="16" spans="1:31" ht="20.100000000000001" customHeight="1" x14ac:dyDescent="0.2">
      <c r="B16" s="4" t="s">
        <v>2</v>
      </c>
      <c r="C16" s="4"/>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2:30" ht="24.95" customHeight="1" x14ac:dyDescent="0.2">
      <c r="B17" s="3" t="str" cm="1">
        <f t="array" ref="B17:B19">IFERROR(_xlfn._xlws.FILTER(Actuals!$B$7:$B$13,Actuals!$H$7:$H$13),"No Drivers Selected")</f>
        <v>Units sold</v>
      </c>
      <c r="C17" s="13"/>
      <c r="D17" s="6" cm="1">
        <f t="array" ref="D17:D19">_xlfn.XLOOKUP(_xlfn.ANCHORARRAY($B17),Actuals!$B$7:$B$13,Actuals!AG$7:AG$13,0)</f>
        <v>1470</v>
      </c>
      <c r="E17" s="6" cm="1">
        <f t="array" ref="E17:E19">_xlfn.XLOOKUP(_xlfn.ANCHORARRAY($B17),Actuals!$B$7:$B$13,Actuals!AH$7:AH$13,0)</f>
        <v>1611</v>
      </c>
      <c r="F17" s="6" cm="1">
        <f t="array" ref="F17:F19">_xlfn.XLOOKUP(_xlfn.ANCHORARRAY($B17),Actuals!$B$7:$B$13,Actuals!AI$7:AI$13,0)</f>
        <v>1845</v>
      </c>
      <c r="G17" s="6" cm="1">
        <f t="array" ref="G17:G19">_xlfn.XLOOKUP(_xlfn.ANCHORARRAY($B17),Actuals!$B$7:$B$13,Actuals!AJ$7:AJ$13,0)</f>
        <v>1915</v>
      </c>
      <c r="H17" s="6" cm="1">
        <f t="array" ref="H17:H19">_xlfn.XLOOKUP(_xlfn.ANCHORARRAY($B17),Actuals!$B$7:$B$13,Actuals!AK$7:AK$13,0)</f>
        <v>1985</v>
      </c>
      <c r="I17" s="6" cm="1">
        <f t="array" ref="I17:I19">_xlfn.XLOOKUP(_xlfn.ANCHORARRAY($B17),Actuals!$B$7:$B$13,Actuals!AL$7:AL$13,0)</f>
        <v>1970</v>
      </c>
      <c r="J17" s="6" cm="1">
        <f t="array" ref="J17:J19">_xlfn.XLOOKUP(_xlfn.ANCHORARRAY($B17),Actuals!$B$7:$B$13,Actuals!AM$7:AM$13,0)</f>
        <v>1709</v>
      </c>
      <c r="K17" s="6" cm="1">
        <f t="array" ref="K17:K19">_xlfn.XLOOKUP(_xlfn.ANCHORARRAY($B17),Actuals!$B$7:$B$13,Actuals!AN$7:AN$13,0)</f>
        <v>1760</v>
      </c>
      <c r="L17" s="6" cm="1">
        <f t="array" ref="L17:L19">_xlfn.XLOOKUP(_xlfn.ANCHORARRAY($B17),Actuals!$B$7:$B$13,Actuals!AO$7:AO$13,0)</f>
        <v>1938</v>
      </c>
      <c r="M17" s="6" cm="1">
        <f t="array" ref="M17:M19">_xlfn.XLOOKUP(_xlfn.ANCHORARRAY($B17),Actuals!$B$7:$B$13,Actuals!AP$7:AP$13,0)</f>
        <v>2030</v>
      </c>
      <c r="N17" s="6" cm="1">
        <f t="array" ref="N17:N19">_xlfn.XLOOKUP(_xlfn.ANCHORARRAY($B17),Actuals!$B$7:$B$13,Actuals!AQ$7:AQ$13,0)</f>
        <v>1882</v>
      </c>
      <c r="O17" s="6" cm="1">
        <f t="array" ref="O17:O19">_xlfn.XLOOKUP(_xlfn.ANCHORARRAY($B17),Actuals!$B$7:$B$13,Actuals!AR$7:AR$13,0)</f>
        <v>1552</v>
      </c>
      <c r="P17" s="7">
        <f>IF(_xlfn.XLOOKUP($B17,Actuals!$B$7:$B$13,Actuals!$G$7:$G$13,"")="Average",AVERAGE(D17:O17),SUM(D17:O17))</f>
        <v>21667</v>
      </c>
      <c r="Q17" s="45">
        <v>1621.03473720537</v>
      </c>
      <c r="R17" s="45">
        <v>1776.5217426107799</v>
      </c>
      <c r="S17" s="45">
        <v>2034.5640069006099</v>
      </c>
      <c r="T17" s="45">
        <v>2111.7561372437199</v>
      </c>
      <c r="U17" s="45">
        <v>2188.9482675868398</v>
      </c>
      <c r="V17" s="45">
        <v>2172.4070967990301</v>
      </c>
      <c r="W17" s="45">
        <v>1884.59072509114</v>
      </c>
      <c r="X17" s="45">
        <v>1940.83070576969</v>
      </c>
      <c r="Y17" s="45">
        <v>2137.1192657850302</v>
      </c>
      <c r="Z17" s="45">
        <v>2238.57177995027</v>
      </c>
      <c r="AA17" s="45">
        <v>2075.3655615105399</v>
      </c>
      <c r="AB17" s="45">
        <v>1711.4598041787301</v>
      </c>
      <c r="AC17" s="7">
        <f>IF(COUNT(Q17:AB17)=0,"",IF(_xlfn.XLOOKUP($B17,Actuals!$B$7:$B$13,Actuals!$G$7:$G$13,"")="Average",AVERAGE(Q17:AB17),SUM(Q17:AB17)))</f>
        <v>23893.169830631752</v>
      </c>
      <c r="AD17" s="12" t="s">
        <v>62</v>
      </c>
    </row>
    <row r="18" spans="2:30" ht="24.95" customHeight="1" x14ac:dyDescent="0.2">
      <c r="B18" s="3" t="str">
        <v>Average price</v>
      </c>
      <c r="C18" s="13"/>
      <c r="D18" s="6">
        <v>1210</v>
      </c>
      <c r="E18" s="6">
        <v>1207</v>
      </c>
      <c r="F18" s="6">
        <v>1235</v>
      </c>
      <c r="G18" s="6">
        <v>1239</v>
      </c>
      <c r="H18" s="6">
        <v>1237</v>
      </c>
      <c r="I18" s="6">
        <v>1242</v>
      </c>
      <c r="J18" s="6">
        <v>1238</v>
      </c>
      <c r="K18" s="6">
        <v>1245</v>
      </c>
      <c r="L18" s="6">
        <v>1237</v>
      </c>
      <c r="M18" s="6">
        <v>1243</v>
      </c>
      <c r="N18" s="6">
        <v>1240</v>
      </c>
      <c r="O18" s="6">
        <v>1239</v>
      </c>
      <c r="P18" s="7">
        <f>IF(_xlfn.XLOOKUP($B18,Actuals!$B$7:$B$13,Actuals!$G$7:$G$13,"")="Average",AVERAGE(D18:O18),SUM(D18:O18))</f>
        <v>1234.3333333333333</v>
      </c>
      <c r="Q18" s="8">
        <v>1250</v>
      </c>
      <c r="R18" s="8">
        <v>1250</v>
      </c>
      <c r="S18" s="8">
        <v>1250</v>
      </c>
      <c r="T18" s="8">
        <v>1250</v>
      </c>
      <c r="U18" s="8">
        <v>1250</v>
      </c>
      <c r="V18" s="8">
        <v>1250</v>
      </c>
      <c r="W18" s="8">
        <v>1250</v>
      </c>
      <c r="X18" s="8">
        <v>1250</v>
      </c>
      <c r="Y18" s="8">
        <v>1250</v>
      </c>
      <c r="Z18" s="8">
        <v>1250</v>
      </c>
      <c r="AA18" s="8">
        <v>1250</v>
      </c>
      <c r="AB18" s="8">
        <v>1250</v>
      </c>
      <c r="AC18" s="7">
        <f>IF(COUNT(Q18:AB18)=0,"",IF(_xlfn.XLOOKUP($B18,Actuals!$B$7:$B$13,Actuals!$G$7:$G$13,"")="Average",AVERAGE(Q18:AB18),SUM(Q18:AB18)))</f>
        <v>1250</v>
      </c>
      <c r="AD18" s="12" t="s">
        <v>127</v>
      </c>
    </row>
    <row r="19" spans="2:30" ht="24.95" customHeight="1" x14ac:dyDescent="0.2">
      <c r="B19" s="3" t="str">
        <v>Unit cost</v>
      </c>
      <c r="C19" s="13"/>
      <c r="D19" s="6">
        <v>738</v>
      </c>
      <c r="E19" s="6">
        <v>739</v>
      </c>
      <c r="F19" s="6">
        <v>747</v>
      </c>
      <c r="G19" s="6">
        <v>744</v>
      </c>
      <c r="H19" s="6">
        <v>754</v>
      </c>
      <c r="I19" s="6">
        <v>749</v>
      </c>
      <c r="J19" s="6">
        <v>751</v>
      </c>
      <c r="K19" s="6">
        <v>761</v>
      </c>
      <c r="L19" s="6">
        <v>759</v>
      </c>
      <c r="M19" s="6">
        <v>754</v>
      </c>
      <c r="N19" s="6">
        <v>757</v>
      </c>
      <c r="O19" s="6">
        <v>762</v>
      </c>
      <c r="P19" s="7">
        <f>IF(_xlfn.XLOOKUP($B19,Actuals!$B$7:$B$13,Actuals!$G$7:$G$13,"")="Average",AVERAGE(D19:O19),SUM(D19:O19))</f>
        <v>751.25</v>
      </c>
      <c r="Q19" s="45">
        <v>732.40139536222705</v>
      </c>
      <c r="R19" s="45">
        <v>734.08811709983001</v>
      </c>
      <c r="S19" s="45">
        <v>735.77483883743298</v>
      </c>
      <c r="T19" s="45">
        <v>737.46156057503697</v>
      </c>
      <c r="U19" s="45">
        <v>739.14828231264005</v>
      </c>
      <c r="V19" s="45">
        <v>740.83500405024404</v>
      </c>
      <c r="W19" s="45">
        <v>742.521725787847</v>
      </c>
      <c r="X19" s="45">
        <v>744.20844752544997</v>
      </c>
      <c r="Y19" s="45">
        <v>745.89516926305396</v>
      </c>
      <c r="Z19" s="45">
        <v>747.58189100065704</v>
      </c>
      <c r="AA19" s="45">
        <v>749.26861273826103</v>
      </c>
      <c r="AB19" s="45">
        <v>750.95533447586399</v>
      </c>
      <c r="AC19" s="7">
        <f>IF(COUNT(Q19:AB19)=0,"",IF(_xlfn.XLOOKUP($B19,Actuals!$B$7:$B$13,Actuals!$G$7:$G$13,"")="Average",AVERAGE(Q19:AB19),SUM(Q19:AB19)))</f>
        <v>741.67836491904529</v>
      </c>
      <c r="AD19" s="12"/>
    </row>
    <row r="20" spans="2:30" ht="24.95" customHeight="1" x14ac:dyDescent="0.2">
      <c r="B20" s="3"/>
      <c r="C20" s="13"/>
      <c r="D20" s="6"/>
      <c r="E20" s="6"/>
      <c r="F20" s="6"/>
      <c r="G20" s="6"/>
      <c r="H20" s="6"/>
      <c r="I20" s="6"/>
      <c r="J20" s="6"/>
      <c r="K20" s="6"/>
      <c r="L20" s="6"/>
      <c r="M20" s="6"/>
      <c r="N20" s="6"/>
      <c r="O20" s="6"/>
      <c r="P20" s="7">
        <f>IF(_xlfn.XLOOKUP($B20,Actuals!$B$7:$B$13,Actuals!$G$7:$G$13,"")="Average",AVERAGE(D20:O20),SUM(D20:O20))</f>
        <v>0</v>
      </c>
      <c r="Q20" s="8"/>
      <c r="R20" s="8"/>
      <c r="S20" s="8"/>
      <c r="T20" s="8"/>
      <c r="U20" s="8"/>
      <c r="V20" s="8"/>
      <c r="W20" s="8"/>
      <c r="X20" s="8"/>
      <c r="Y20" s="8"/>
      <c r="Z20" s="8"/>
      <c r="AA20" s="8"/>
      <c r="AB20" s="8"/>
      <c r="AC20" s="7" t="str">
        <f>IF(COUNT(Q20:AB20)=0,"",IF(_xlfn.XLOOKUP($B20,Actuals!$B$7:$B$13,Actuals!$G$7:$G$13,"")="Average",AVERAGE(Q20:AB20),SUM(Q20:AB20)))</f>
        <v/>
      </c>
      <c r="AD20" s="12"/>
    </row>
    <row r="21" spans="2:30" ht="24.95" customHeight="1" x14ac:dyDescent="0.2">
      <c r="B21" s="3"/>
      <c r="C21" s="13"/>
      <c r="D21" s="6"/>
      <c r="E21" s="6"/>
      <c r="F21" s="6"/>
      <c r="G21" s="6"/>
      <c r="H21" s="6"/>
      <c r="I21" s="6"/>
      <c r="J21" s="6"/>
      <c r="K21" s="6"/>
      <c r="L21" s="6"/>
      <c r="M21" s="6"/>
      <c r="N21" s="6"/>
      <c r="O21" s="6"/>
      <c r="P21" s="7">
        <f>IF(_xlfn.XLOOKUP($B21,Actuals!$B$7:$B$13,Actuals!$G$7:$G$13,"")="Average",AVERAGE(D21:O21),SUM(D21:O21))</f>
        <v>0</v>
      </c>
      <c r="Q21" s="8"/>
      <c r="R21" s="8"/>
      <c r="S21" s="8"/>
      <c r="T21" s="8"/>
      <c r="U21" s="8"/>
      <c r="V21" s="8"/>
      <c r="W21" s="8"/>
      <c r="X21" s="8"/>
      <c r="Y21" s="8"/>
      <c r="Z21" s="8"/>
      <c r="AA21" s="8"/>
      <c r="AB21" s="8"/>
      <c r="AC21" s="7" t="str">
        <f>IF(COUNT(Q21:AB21)=0,"",IF(_xlfn.XLOOKUP($B21,Actuals!$B$7:$B$13,Actuals!$G$7:$G$13,"")="Average",AVERAGE(Q21:AB21),SUM(Q21:AB21)))</f>
        <v/>
      </c>
      <c r="AD21" s="12"/>
    </row>
    <row r="22" spans="2:30" ht="24.95" customHeight="1" x14ac:dyDescent="0.2">
      <c r="B22" s="3"/>
      <c r="C22" s="13"/>
      <c r="D22" s="29"/>
      <c r="E22" s="29"/>
      <c r="F22" s="29"/>
      <c r="G22" s="29"/>
      <c r="H22" s="29"/>
      <c r="I22" s="29"/>
      <c r="J22" s="29"/>
      <c r="K22" s="29"/>
      <c r="L22" s="29"/>
      <c r="M22" s="29"/>
      <c r="N22" s="29"/>
      <c r="O22" s="29"/>
      <c r="P22" s="30">
        <f>IF(_xlfn.XLOOKUP($B22,Actuals!$B$7:$B$13,Actuals!$G$7:$G$13,"")="Average",AVERAGE(D22:O22),SUM(D22:O22))</f>
        <v>0</v>
      </c>
      <c r="Q22" s="8"/>
      <c r="R22" s="8"/>
      <c r="S22" s="8"/>
      <c r="T22" s="8"/>
      <c r="U22" s="8"/>
      <c r="V22" s="8"/>
      <c r="W22" s="8"/>
      <c r="X22" s="8"/>
      <c r="Y22" s="8"/>
      <c r="Z22" s="8"/>
      <c r="AA22" s="8"/>
      <c r="AB22" s="8"/>
      <c r="AC22" s="30" t="str">
        <f>IF(COUNT(Q22:AB22)=0,"",IF(_xlfn.XLOOKUP($B22,Actuals!$B$7:$B$13,Actuals!$G$7:$G$13,"")="Average",AVERAGE(Q22:AB22),SUM(Q22:AB22)))</f>
        <v/>
      </c>
      <c r="AD22" s="12"/>
    </row>
    <row r="23" spans="2:30" ht="24.95" customHeight="1" x14ac:dyDescent="0.2">
      <c r="B23" s="3"/>
      <c r="C23" s="13"/>
      <c r="D23" s="25"/>
      <c r="E23" s="25"/>
      <c r="F23" s="25"/>
      <c r="G23" s="25"/>
      <c r="H23" s="25"/>
      <c r="I23" s="25"/>
      <c r="J23" s="25"/>
      <c r="K23" s="25"/>
      <c r="L23" s="25"/>
      <c r="M23" s="25"/>
      <c r="N23" s="25"/>
      <c r="O23" s="25"/>
      <c r="P23" s="24"/>
      <c r="Q23" s="8"/>
      <c r="R23" s="8"/>
      <c r="S23" s="8"/>
      <c r="T23" s="8"/>
      <c r="U23" s="8"/>
      <c r="V23" s="8"/>
      <c r="W23" s="8"/>
      <c r="X23" s="8"/>
      <c r="Y23" s="8"/>
      <c r="Z23" s="8"/>
      <c r="AA23" s="8"/>
      <c r="AB23" s="8"/>
      <c r="AC23" s="7"/>
      <c r="AD23" s="12"/>
    </row>
    <row r="25" spans="2:30" ht="21.75" customHeight="1" x14ac:dyDescent="0.2">
      <c r="B25" s="4" t="s">
        <v>47</v>
      </c>
      <c r="C25" s="4"/>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2:30" ht="24.95" customHeight="1" x14ac:dyDescent="0.2">
      <c r="B26" s="16" t="s">
        <v>23</v>
      </c>
      <c r="C26" s="16"/>
      <c r="D26" s="6">
        <f>Actuals!AG16</f>
        <v>693840</v>
      </c>
      <c r="E26" s="6">
        <f>Actuals!AH16</f>
        <v>753948</v>
      </c>
      <c r="F26" s="6">
        <f>Actuals!AI16</f>
        <v>900360</v>
      </c>
      <c r="G26" s="6">
        <f>Actuals!AJ16</f>
        <v>947925</v>
      </c>
      <c r="H26" s="6">
        <f>Actuals!AK16</f>
        <v>958755</v>
      </c>
      <c r="I26" s="6">
        <f>Actuals!AL16</f>
        <v>971210</v>
      </c>
      <c r="J26" s="6">
        <f>Actuals!AM16</f>
        <v>832283</v>
      </c>
      <c r="K26" s="6">
        <f>Actuals!AN16</f>
        <v>851840</v>
      </c>
      <c r="L26" s="6">
        <f>Actuals!AO16</f>
        <v>926364</v>
      </c>
      <c r="M26" s="6">
        <f>Actuals!AP16</f>
        <v>992670</v>
      </c>
      <c r="N26" s="6">
        <f>Actuals!AQ16</f>
        <v>909006</v>
      </c>
      <c r="O26" s="6">
        <f>Actuals!AR16</f>
        <v>740304</v>
      </c>
      <c r="P26" s="7">
        <f t="shared" ref="P26:P31" si="2">SUM(D26:O26)</f>
        <v>10478505</v>
      </c>
      <c r="Q26" s="54" cm="1">
        <f t="array" ref="Q26">TargetBase*(1+Intercept+SUMPRODUCT(Effects,IF(DriverBase="",0,Q17:Q23/IF(DriverBase="",1,DriverBase)-1)))</f>
        <v>843776.94207282085</v>
      </c>
      <c r="R26" s="54" cm="1">
        <f t="array" ref="R26">TargetBase*(1+Intercept+SUMPRODUCT(Effects,IF(DriverBase="",0,R17:R23/IF(DriverBase="",1,DriverBase)-1)))</f>
        <v>914793.7003891007</v>
      </c>
      <c r="S26" s="54" cm="1">
        <f t="array" ref="S26">TargetBase*(1+Intercept+SUMPRODUCT(Effects,IF(DriverBase="",0,S17:S23/IF(DriverBase="",1,DriverBase)-1)))</f>
        <v>1034513.5689628673</v>
      </c>
      <c r="T26" s="54" cm="1">
        <f t="array" ref="T26">TargetBase*(1+Intercept+SUMPRODUCT(Effects,IF(DriverBase="",0,T17:T23/IF(DriverBase="",1,DriverBase)-1)))</f>
        <v>1068348.3828890212</v>
      </c>
      <c r="U26" s="54" cm="1">
        <f t="array" ref="U26">TargetBase*(1+Intercept+SUMPRODUCT(Effects,IF(DriverBase="",0,U17:U23/IF(DriverBase="",1,DriverBase)-1)))</f>
        <v>1102183.1968151811</v>
      </c>
      <c r="V26" s="54" cm="1">
        <f t="array" ref="V26">TargetBase*(1+Intercept+SUMPRODUCT(Effects,IF(DriverBase="",0,V17:V23/IF(DriverBase="",1,DriverBase)-1)))</f>
        <v>1091504.4153447084</v>
      </c>
      <c r="W26" s="54" cm="1">
        <f t="array" ref="W26">TargetBase*(1+Intercept+SUMPRODUCT(Effects,IF(DriverBase="",0,W17:W23/IF(DriverBase="",1,DriverBase)-1)))</f>
        <v>951998.05190282071</v>
      </c>
      <c r="X26" s="54" cm="1">
        <f t="array" ref="X26">TargetBase*(1+Intercept+SUMPRODUCT(Effects,IF(DriverBase="",0,X17:X23/IF(DriverBase="",1,DriverBase)-1)))</f>
        <v>975882.76803443546</v>
      </c>
      <c r="Y26" s="54" cm="1">
        <f t="array" ref="Y26">TargetBase*(1+Intercept+SUMPRODUCT(Effects,IF(DriverBase="",0,Y17:Y23/IF(DriverBase="",1,DriverBase)-1)))</f>
        <v>1066276.0325821866</v>
      </c>
      <c r="Z26" s="54" cm="1">
        <f t="array" ref="Z26">TargetBase*(1+Intercept+SUMPRODUCT(Effects,IF(DriverBase="",0,Z17:Z23/IF(DriverBase="",1,DriverBase)-1)))</f>
        <v>1111632.0123757084</v>
      </c>
      <c r="AA26" s="54" cm="1">
        <f t="array" ref="AA26">TargetBase*(1+Intercept+SUMPRODUCT(Effects,IF(DriverBase="",0,AA17:AA23/IF(DriverBase="",1,DriverBase)-1)))</f>
        <v>1031302.5463434503</v>
      </c>
      <c r="AB26" s="54" cm="1">
        <f t="array" ref="AB26">TargetBase*(1+Intercept+SUMPRODUCT(Effects,IF(DriverBase="",0,AB17:AB23/IF(DriverBase="",1,DriverBase)-1)))</f>
        <v>855661.61722665583</v>
      </c>
      <c r="AC26" s="7">
        <f t="shared" ref="AC26:AC31" si="3">SUM(Q26:AB26)</f>
        <v>12047873.234938957</v>
      </c>
      <c r="AD26" s="12"/>
    </row>
    <row r="27" spans="2:30" ht="24.95" customHeight="1" x14ac:dyDescent="0.2">
      <c r="B27" s="17" t="str">
        <f>Actuals!$B17</f>
        <v>Product Revenue</v>
      </c>
      <c r="C27" s="13"/>
      <c r="D27" s="6">
        <f>Actuals!AG17</f>
        <v>1442729</v>
      </c>
      <c r="E27" s="6">
        <f>Actuals!AH17</f>
        <v>1594221</v>
      </c>
      <c r="F27" s="6">
        <f>Actuals!AI17</f>
        <v>1878989</v>
      </c>
      <c r="G27" s="6">
        <f>Actuals!AJ17</f>
        <v>1959269</v>
      </c>
      <c r="H27" s="6">
        <f>Actuals!AK17</f>
        <v>1996240</v>
      </c>
      <c r="I27" s="6">
        <f>Actuals!AL17</f>
        <v>2004034</v>
      </c>
      <c r="J27" s="6">
        <f>Actuals!AM17</f>
        <v>1755051</v>
      </c>
      <c r="K27" s="6">
        <f>Actuals!AN17</f>
        <v>1806842</v>
      </c>
      <c r="L27" s="6">
        <f>Actuals!AO17</f>
        <v>1961178</v>
      </c>
      <c r="M27" s="6">
        <f>Actuals!AP17</f>
        <v>2093745</v>
      </c>
      <c r="N27" s="6">
        <f>Actuals!AQ17</f>
        <v>1913586</v>
      </c>
      <c r="O27" s="6">
        <f>Actuals!AR17</f>
        <v>1568044</v>
      </c>
      <c r="P27" s="7">
        <f t="shared" si="2"/>
        <v>21973928</v>
      </c>
      <c r="Q27" s="6">
        <f t="shared" ref="Q27:AB31" si="4">IF(D$26=0,0,D27/D$26)*Q$26</f>
        <v>1754498.8237342597</v>
      </c>
      <c r="R27" s="6">
        <f t="shared" si="4"/>
        <v>1934328.7969833629</v>
      </c>
      <c r="S27" s="6">
        <f t="shared" si="4"/>
        <v>2158958.2127504209</v>
      </c>
      <c r="T27" s="6">
        <f t="shared" si="4"/>
        <v>2208172.4480255181</v>
      </c>
      <c r="U27" s="6">
        <f t="shared" si="4"/>
        <v>2294874.274251855</v>
      </c>
      <c r="V27" s="6">
        <f t="shared" si="4"/>
        <v>2252254.3626001761</v>
      </c>
      <c r="W27" s="6">
        <f t="shared" si="4"/>
        <v>2007496.4080608368</v>
      </c>
      <c r="X27" s="6">
        <f t="shared" si="4"/>
        <v>2069949.7233763093</v>
      </c>
      <c r="Y27" s="6">
        <f t="shared" si="4"/>
        <v>2257381.6523822895</v>
      </c>
      <c r="Z27" s="6">
        <f t="shared" si="4"/>
        <v>2344660.3279554914</v>
      </c>
      <c r="AA27" s="6">
        <f t="shared" si="4"/>
        <v>2171037.5007944694</v>
      </c>
      <c r="AB27" s="6">
        <f t="shared" si="4"/>
        <v>1812383.9192042113</v>
      </c>
      <c r="AC27" s="7">
        <f t="shared" si="3"/>
        <v>25265996.450119201</v>
      </c>
      <c r="AD27" s="12"/>
    </row>
    <row r="28" spans="2:30" ht="24.95" customHeight="1" x14ac:dyDescent="0.2">
      <c r="B28" s="17" t="str">
        <f>Actuals!$B18</f>
        <v>Service Revenue</v>
      </c>
      <c r="C28" s="13"/>
      <c r="D28" s="6">
        <f>Actuals!AG18</f>
        <v>335971</v>
      </c>
      <c r="E28" s="6">
        <f>Actuals!AH18</f>
        <v>350256</v>
      </c>
      <c r="F28" s="6">
        <f>Actuals!AI18</f>
        <v>399586</v>
      </c>
      <c r="G28" s="6">
        <f>Actuals!AJ18</f>
        <v>413416</v>
      </c>
      <c r="H28" s="6">
        <f>Actuals!AK18</f>
        <v>459205</v>
      </c>
      <c r="I28" s="6">
        <f>Actuals!AL18</f>
        <v>442706</v>
      </c>
      <c r="J28" s="6">
        <f>Actuals!AM18</f>
        <v>360691</v>
      </c>
      <c r="K28" s="6">
        <f>Actuals!AN18</f>
        <v>384358</v>
      </c>
      <c r="L28" s="6">
        <f>Actuals!AO18</f>
        <v>436128</v>
      </c>
      <c r="M28" s="6">
        <f>Actuals!AP18</f>
        <v>429545</v>
      </c>
      <c r="N28" s="6">
        <f>Actuals!AQ18</f>
        <v>420094</v>
      </c>
      <c r="O28" s="6">
        <f>Actuals!AR18</f>
        <v>354884</v>
      </c>
      <c r="P28" s="7">
        <f t="shared" si="2"/>
        <v>4786840</v>
      </c>
      <c r="Q28" s="6">
        <f t="shared" si="4"/>
        <v>408573.42183377675</v>
      </c>
      <c r="R28" s="6">
        <f t="shared" si="4"/>
        <v>424978.8875671596</v>
      </c>
      <c r="S28" s="6">
        <f t="shared" si="4"/>
        <v>459124.28247322876</v>
      </c>
      <c r="T28" s="6">
        <f t="shared" si="4"/>
        <v>465935.9285391224</v>
      </c>
      <c r="U28" s="6">
        <f t="shared" si="4"/>
        <v>527901.32504499611</v>
      </c>
      <c r="V28" s="6">
        <f t="shared" si="4"/>
        <v>497539.7223047482</v>
      </c>
      <c r="W28" s="6">
        <f t="shared" si="4"/>
        <v>412572.56166337692</v>
      </c>
      <c r="X28" s="6">
        <f t="shared" si="4"/>
        <v>440327.23158830247</v>
      </c>
      <c r="Y28" s="6">
        <f t="shared" si="4"/>
        <v>501997.95494859893</v>
      </c>
      <c r="Z28" s="6">
        <f t="shared" si="4"/>
        <v>481021.86301180016</v>
      </c>
      <c r="AA28" s="6">
        <f t="shared" si="4"/>
        <v>476612.92874151043</v>
      </c>
      <c r="AB28" s="6">
        <f t="shared" si="4"/>
        <v>410183.67774301436</v>
      </c>
      <c r="AC28" s="7">
        <f t="shared" si="3"/>
        <v>5506769.7854596348</v>
      </c>
      <c r="AD28" s="12"/>
    </row>
    <row r="29" spans="2:30" ht="24.95" customHeight="1" x14ac:dyDescent="0.2">
      <c r="B29" s="17" t="str">
        <f>Actuals!$B19</f>
        <v>Materials</v>
      </c>
      <c r="C29" s="13"/>
      <c r="D29" s="6">
        <f>Actuals!AG19</f>
        <v>681641</v>
      </c>
      <c r="E29" s="6">
        <f>Actuals!AH19</f>
        <v>746186</v>
      </c>
      <c r="F29" s="6">
        <f>Actuals!AI19</f>
        <v>866892</v>
      </c>
      <c r="G29" s="6">
        <f>Actuals!AJ19</f>
        <v>872142</v>
      </c>
      <c r="H29" s="6">
        <f>Actuals!AK19</f>
        <v>938267</v>
      </c>
      <c r="I29" s="6">
        <f>Actuals!AL19</f>
        <v>929563</v>
      </c>
      <c r="J29" s="6">
        <f>Actuals!AM19</f>
        <v>794552</v>
      </c>
      <c r="K29" s="6">
        <f>Actuals!AN19</f>
        <v>829842</v>
      </c>
      <c r="L29" s="6">
        <f>Actuals!AO19</f>
        <v>901585</v>
      </c>
      <c r="M29" s="6">
        <f>Actuals!AP19</f>
        <v>963060</v>
      </c>
      <c r="N29" s="6">
        <f>Actuals!AQ19</f>
        <v>878696</v>
      </c>
      <c r="O29" s="6">
        <f>Actuals!AR19</f>
        <v>739897</v>
      </c>
      <c r="P29" s="7">
        <f t="shared" si="2"/>
        <v>10142323</v>
      </c>
      <c r="Q29" s="6">
        <f t="shared" si="4"/>
        <v>828941.77126060717</v>
      </c>
      <c r="R29" s="6">
        <f t="shared" si="4"/>
        <v>905375.77143057808</v>
      </c>
      <c r="S29" s="6">
        <f t="shared" si="4"/>
        <v>996058.83960344514</v>
      </c>
      <c r="T29" s="6">
        <f t="shared" si="4"/>
        <v>982937.9912436076</v>
      </c>
      <c r="U29" s="6">
        <f t="shared" si="4"/>
        <v>1078630.2251630391</v>
      </c>
      <c r="V29" s="6">
        <f t="shared" si="4"/>
        <v>1044699.0031415174</v>
      </c>
      <c r="W29" s="6">
        <f t="shared" si="4"/>
        <v>908839.84910840425</v>
      </c>
      <c r="X29" s="6">
        <f t="shared" si="4"/>
        <v>950681.47538414726</v>
      </c>
      <c r="Y29" s="6">
        <f t="shared" si="4"/>
        <v>1037754.5725390998</v>
      </c>
      <c r="Z29" s="6">
        <f t="shared" si="4"/>
        <v>1078473.5368637613</v>
      </c>
      <c r="AA29" s="6">
        <f t="shared" si="4"/>
        <v>996914.67631875305</v>
      </c>
      <c r="AB29" s="6">
        <f t="shared" si="4"/>
        <v>855191.19659106387</v>
      </c>
      <c r="AC29" s="7">
        <f t="shared" si="3"/>
        <v>11664498.908648025</v>
      </c>
      <c r="AD29" s="12"/>
    </row>
    <row r="30" spans="2:30" ht="24.95" customHeight="1" x14ac:dyDescent="0.2">
      <c r="B30" s="17" t="str">
        <f>Actuals!$B20</f>
        <v>Freight and duties</v>
      </c>
      <c r="C30" s="13"/>
      <c r="D30" s="6">
        <f>Actuals!AG20</f>
        <v>114265</v>
      </c>
      <c r="E30" s="6">
        <f>Actuals!AH20</f>
        <v>126560</v>
      </c>
      <c r="F30" s="6">
        <f>Actuals!AI20</f>
        <v>153401</v>
      </c>
      <c r="G30" s="6">
        <f>Actuals!AJ20</f>
        <v>155791</v>
      </c>
      <c r="H30" s="6">
        <f>Actuals!AK20</f>
        <v>161565</v>
      </c>
      <c r="I30" s="6">
        <f>Actuals!AL20</f>
        <v>167506</v>
      </c>
      <c r="J30" s="6">
        <f>Actuals!AM20</f>
        <v>141029</v>
      </c>
      <c r="K30" s="6">
        <f>Actuals!AN20</f>
        <v>144531</v>
      </c>
      <c r="L30" s="6">
        <f>Actuals!AO20</f>
        <v>159994</v>
      </c>
      <c r="M30" s="6">
        <f>Actuals!AP20</f>
        <v>170312</v>
      </c>
      <c r="N30" s="6">
        <f>Actuals!AQ20</f>
        <v>150861</v>
      </c>
      <c r="O30" s="6">
        <f>Actuals!AR20</f>
        <v>134433</v>
      </c>
      <c r="P30" s="7">
        <f t="shared" si="2"/>
        <v>1780248</v>
      </c>
      <c r="Q30" s="6">
        <f t="shared" si="4"/>
        <v>138957.35657493208</v>
      </c>
      <c r="R30" s="6">
        <f t="shared" si="4"/>
        <v>153560.04753808561</v>
      </c>
      <c r="S30" s="6">
        <f t="shared" si="4"/>
        <v>176257.73689687767</v>
      </c>
      <c r="T30" s="6">
        <f t="shared" si="4"/>
        <v>175582.52279311497</v>
      </c>
      <c r="U30" s="6">
        <f t="shared" si="4"/>
        <v>185734.86260144116</v>
      </c>
      <c r="V30" s="6">
        <f t="shared" si="4"/>
        <v>188253.35261862082</v>
      </c>
      <c r="W30" s="6">
        <f t="shared" si="4"/>
        <v>161314.52073609925</v>
      </c>
      <c r="X30" s="6">
        <f t="shared" si="4"/>
        <v>165577.23556863377</v>
      </c>
      <c r="Y30" s="6">
        <f t="shared" si="4"/>
        <v>184158.45991095764</v>
      </c>
      <c r="Z30" s="6">
        <f t="shared" si="4"/>
        <v>190722.26549783075</v>
      </c>
      <c r="AA30" s="6">
        <f t="shared" si="4"/>
        <v>171157.65291309328</v>
      </c>
      <c r="AB30" s="6">
        <f t="shared" si="4"/>
        <v>155380.97617820656</v>
      </c>
      <c r="AC30" s="7">
        <f t="shared" si="3"/>
        <v>2046656.9898278937</v>
      </c>
      <c r="AD30" s="12"/>
    </row>
    <row r="31" spans="2:30" ht="24.95" customHeight="1" x14ac:dyDescent="0.2">
      <c r="B31" s="17" t="str">
        <f>Actuals!$B21</f>
        <v>Direct labour</v>
      </c>
      <c r="C31" s="13"/>
      <c r="D31" s="6">
        <f>Actuals!AG21</f>
        <v>288954</v>
      </c>
      <c r="E31" s="6">
        <f>Actuals!AH21</f>
        <v>317783</v>
      </c>
      <c r="F31" s="6">
        <f>Actuals!AI21</f>
        <v>357922</v>
      </c>
      <c r="G31" s="6">
        <f>Actuals!AJ21</f>
        <v>396827</v>
      </c>
      <c r="H31" s="6">
        <f>Actuals!AK21</f>
        <v>396858</v>
      </c>
      <c r="I31" s="6">
        <f>Actuals!AL21</f>
        <v>378461</v>
      </c>
      <c r="J31" s="6">
        <f>Actuals!AM21</f>
        <v>347878</v>
      </c>
      <c r="K31" s="6">
        <f>Actuals!AN21</f>
        <v>364987</v>
      </c>
      <c r="L31" s="6">
        <f>Actuals!AO21</f>
        <v>409363</v>
      </c>
      <c r="M31" s="6">
        <f>Actuals!AP21</f>
        <v>397248</v>
      </c>
      <c r="N31" s="6">
        <f>Actuals!AQ21</f>
        <v>395117</v>
      </c>
      <c r="O31" s="6">
        <f>Actuals!AR21</f>
        <v>308294</v>
      </c>
      <c r="P31" s="7">
        <f t="shared" si="2"/>
        <v>4359692</v>
      </c>
      <c r="Q31" s="6">
        <f t="shared" si="4"/>
        <v>351396.17565967643</v>
      </c>
      <c r="R31" s="6">
        <f t="shared" si="4"/>
        <v>385578.16519275814</v>
      </c>
      <c r="S31" s="6">
        <f t="shared" si="4"/>
        <v>411252.34976045956</v>
      </c>
      <c r="T31" s="6">
        <f t="shared" si="4"/>
        <v>447239.47963889717</v>
      </c>
      <c r="U31" s="6">
        <f t="shared" si="4"/>
        <v>456227.31471718964</v>
      </c>
      <c r="V31" s="6">
        <f t="shared" si="4"/>
        <v>425337.31380007794</v>
      </c>
      <c r="W31" s="6">
        <f t="shared" si="4"/>
        <v>397916.54797688941</v>
      </c>
      <c r="X31" s="6">
        <f t="shared" si="4"/>
        <v>418135.47597739537</v>
      </c>
      <c r="Y31" s="6">
        <f t="shared" si="4"/>
        <v>471190.54229864466</v>
      </c>
      <c r="Z31" s="6">
        <f t="shared" si="4"/>
        <v>444854.37622999126</v>
      </c>
      <c r="AA31" s="6">
        <f t="shared" si="4"/>
        <v>448275.55396068346</v>
      </c>
      <c r="AB31" s="6">
        <f t="shared" si="4"/>
        <v>356333.80695129925</v>
      </c>
      <c r="AC31" s="7">
        <f t="shared" si="3"/>
        <v>5013737.102163963</v>
      </c>
      <c r="AD31" s="12"/>
    </row>
    <row r="32" spans="2:30" ht="26.25" customHeight="1" x14ac:dyDescent="0.2"/>
    <row r="33" ht="26.25" customHeight="1" x14ac:dyDescent="0.2"/>
    <row r="34" ht="26.25" customHeight="1" x14ac:dyDescent="0.2"/>
    <row r="35" ht="26.25" customHeight="1" x14ac:dyDescent="0.2"/>
    <row r="36" ht="26.25" customHeight="1" x14ac:dyDescent="0.2"/>
    <row r="37" ht="26.25" customHeight="1" x14ac:dyDescent="0.2"/>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37BB-B1B2-4DF7-9B3F-8A8CD09B8D44}">
  <sheetPr>
    <tabColor theme="3" tint="0.39997558519241921"/>
  </sheetPr>
  <dimension ref="A1:AE37"/>
  <sheetViews>
    <sheetView showRowColHeaders="0" zoomScaleNormal="100" workbookViewId="0"/>
  </sheetViews>
  <sheetFormatPr defaultColWidth="12.7109375" defaultRowHeight="15.95" customHeight="1" outlineLevelCol="1" x14ac:dyDescent="0.2"/>
  <cols>
    <col min="1" max="1" width="2.7109375" customWidth="1" collapsed="1"/>
    <col min="2" max="2" width="31.42578125" customWidth="1" collapsed="1"/>
    <col min="3" max="3" width="13.7109375" customWidth="1"/>
    <col min="4" max="15" width="11.7109375" hidden="1" customWidth="1" outlineLevel="1" collapsed="1"/>
    <col min="16" max="16" width="12.7109375" collapsed="1"/>
    <col min="17" max="28" width="11.7109375" customWidth="1" outlineLevel="1" collapsed="1"/>
    <col min="30" max="30" width="42.85546875" customWidth="1"/>
    <col min="31" max="31" width="2.7109375" customWidth="1" collapsed="1"/>
    <col min="32" max="32" width="0" hidden="1" customWidth="1"/>
    <col min="34" max="47" width="0" hidden="1" customWidth="1"/>
  </cols>
  <sheetData>
    <row r="1" spans="1:31" ht="24.95" customHeight="1" x14ac:dyDescent="0.2">
      <c r="A1" s="5"/>
      <c r="B1" s="5" t="s">
        <v>32</v>
      </c>
      <c r="C1" s="5"/>
      <c r="D1" s="5"/>
      <c r="E1" s="5"/>
      <c r="F1" s="5"/>
      <c r="G1" s="5"/>
      <c r="H1" s="5"/>
      <c r="I1" s="5"/>
      <c r="J1" s="5"/>
      <c r="K1" s="5"/>
      <c r="L1" s="5"/>
      <c r="M1" s="5"/>
      <c r="N1" s="5"/>
      <c r="O1" s="5"/>
      <c r="P1" s="5"/>
      <c r="Q1" s="5"/>
      <c r="R1" s="5"/>
      <c r="S1" s="5"/>
      <c r="T1" s="5"/>
      <c r="U1" s="5"/>
      <c r="V1" s="5"/>
      <c r="W1" s="5"/>
      <c r="X1" s="5"/>
      <c r="Y1" s="5"/>
      <c r="Z1" s="5"/>
      <c r="AA1" s="5"/>
      <c r="AB1" s="5"/>
      <c r="AC1" s="5"/>
      <c r="AD1" s="5"/>
      <c r="AE1" s="5"/>
    </row>
    <row r="2" spans="1:31" ht="24.95" customHeight="1" x14ac:dyDescent="0.2">
      <c r="A2" s="2"/>
      <c r="B2" s="21" t="str">
        <f>C6&amp;" - top-down"</f>
        <v>Volume capped at 23,400 units, solve price and cost - top-down</v>
      </c>
      <c r="C2" s="2"/>
      <c r="D2" s="2" t="s">
        <v>1</v>
      </c>
      <c r="E2" s="2" t="s">
        <v>1</v>
      </c>
      <c r="F2" s="2" t="s">
        <v>1</v>
      </c>
      <c r="G2" s="2" t="s">
        <v>1</v>
      </c>
      <c r="H2" s="2" t="s">
        <v>1</v>
      </c>
      <c r="I2" s="2" t="s">
        <v>1</v>
      </c>
      <c r="J2" s="2" t="s">
        <v>1</v>
      </c>
      <c r="K2" s="2" t="s">
        <v>1</v>
      </c>
      <c r="L2" s="2" t="s">
        <v>1</v>
      </c>
      <c r="M2" s="2" t="s">
        <v>1</v>
      </c>
      <c r="N2" s="2" t="s">
        <v>1</v>
      </c>
      <c r="O2" s="2" t="s">
        <v>1</v>
      </c>
      <c r="P2" s="10" t="s">
        <v>1</v>
      </c>
      <c r="Q2" s="2"/>
      <c r="R2" s="2"/>
      <c r="S2" s="2"/>
      <c r="T2" s="2"/>
      <c r="U2" s="2"/>
      <c r="V2" s="2"/>
      <c r="W2" s="2"/>
      <c r="X2" s="2"/>
      <c r="Y2" s="2"/>
      <c r="Z2" s="2"/>
      <c r="AA2" s="2"/>
      <c r="AB2" s="2"/>
      <c r="AC2" s="2"/>
      <c r="AD2" s="2"/>
      <c r="AE2" s="2"/>
    </row>
    <row r="3" spans="1:31" ht="20.100000000000001" customHeight="1" x14ac:dyDescent="0.2">
      <c r="A3" s="2"/>
      <c r="B3" s="21"/>
      <c r="C3" s="2"/>
      <c r="D3" s="2">
        <f>Actuals!$AU$3</f>
        <v>2026</v>
      </c>
      <c r="E3" s="2">
        <f>Actuals!$AU$3</f>
        <v>2026</v>
      </c>
      <c r="F3" s="2">
        <f>Actuals!$AU$3</f>
        <v>2026</v>
      </c>
      <c r="G3" s="2">
        <f>Actuals!$AU$3</f>
        <v>2026</v>
      </c>
      <c r="H3" s="2">
        <f>Actuals!$AU$3</f>
        <v>2026</v>
      </c>
      <c r="I3" s="2">
        <f>Actuals!$AU$3</f>
        <v>2026</v>
      </c>
      <c r="J3" s="2">
        <f>Actuals!$AU$3</f>
        <v>2026</v>
      </c>
      <c r="K3" s="2">
        <f>Actuals!$AU$3</f>
        <v>2026</v>
      </c>
      <c r="L3" s="2">
        <f>Actuals!$AU$3</f>
        <v>2026</v>
      </c>
      <c r="M3" s="2">
        <f>Actuals!$AU$3</f>
        <v>2026</v>
      </c>
      <c r="N3" s="2">
        <f>Actuals!$AU$3</f>
        <v>2026</v>
      </c>
      <c r="O3" s="2">
        <f>Actuals!$AU$3</f>
        <v>2026</v>
      </c>
      <c r="P3" s="10">
        <f>$O$3</f>
        <v>2026</v>
      </c>
      <c r="Q3" s="2">
        <f>$D$3+1</f>
        <v>2027</v>
      </c>
      <c r="R3" s="2">
        <f t="shared" ref="R3:AB3" si="0">$D$3+1</f>
        <v>2027</v>
      </c>
      <c r="S3" s="2">
        <f t="shared" si="0"/>
        <v>2027</v>
      </c>
      <c r="T3" s="2">
        <f t="shared" si="0"/>
        <v>2027</v>
      </c>
      <c r="U3" s="2">
        <f t="shared" si="0"/>
        <v>2027</v>
      </c>
      <c r="V3" s="2">
        <f t="shared" si="0"/>
        <v>2027</v>
      </c>
      <c r="W3" s="2">
        <f t="shared" si="0"/>
        <v>2027</v>
      </c>
      <c r="X3" s="2">
        <f t="shared" si="0"/>
        <v>2027</v>
      </c>
      <c r="Y3" s="2">
        <f t="shared" si="0"/>
        <v>2027</v>
      </c>
      <c r="Z3" s="2">
        <f t="shared" si="0"/>
        <v>2027</v>
      </c>
      <c r="AA3" s="2">
        <f t="shared" si="0"/>
        <v>2027</v>
      </c>
      <c r="AB3" s="2">
        <f t="shared" si="0"/>
        <v>2027</v>
      </c>
      <c r="AC3" s="10">
        <f>$AB$3</f>
        <v>2027</v>
      </c>
      <c r="AD3" s="2"/>
      <c r="AE3" s="2"/>
    </row>
    <row r="4" spans="1:31" ht="20.100000000000001" customHeight="1" x14ac:dyDescent="0.2">
      <c r="A4" s="2"/>
      <c r="B4" s="2"/>
      <c r="C4" s="2"/>
      <c r="D4" s="2" t="s">
        <v>3</v>
      </c>
      <c r="E4" s="2" t="s">
        <v>4</v>
      </c>
      <c r="F4" s="2" t="s">
        <v>5</v>
      </c>
      <c r="G4" s="2" t="s">
        <v>6</v>
      </c>
      <c r="H4" s="2" t="s">
        <v>7</v>
      </c>
      <c r="I4" s="2" t="s">
        <v>8</v>
      </c>
      <c r="J4" s="2" t="s">
        <v>9</v>
      </c>
      <c r="K4" s="2" t="s">
        <v>10</v>
      </c>
      <c r="L4" s="2" t="s">
        <v>11</v>
      </c>
      <c r="M4" s="2" t="s">
        <v>12</v>
      </c>
      <c r="N4" s="2" t="s">
        <v>13</v>
      </c>
      <c r="O4" s="2" t="s">
        <v>14</v>
      </c>
      <c r="P4" s="10" t="s">
        <v>0</v>
      </c>
      <c r="Q4" s="2" t="s">
        <v>3</v>
      </c>
      <c r="R4" s="2" t="s">
        <v>4</v>
      </c>
      <c r="S4" s="2" t="s">
        <v>5</v>
      </c>
      <c r="T4" s="2" t="s">
        <v>6</v>
      </c>
      <c r="U4" s="2" t="s">
        <v>7</v>
      </c>
      <c r="V4" s="2" t="s">
        <v>8</v>
      </c>
      <c r="W4" s="2" t="s">
        <v>9</v>
      </c>
      <c r="X4" s="2" t="s">
        <v>10</v>
      </c>
      <c r="Y4" s="2" t="s">
        <v>11</v>
      </c>
      <c r="Z4" s="2" t="s">
        <v>12</v>
      </c>
      <c r="AA4" s="2" t="s">
        <v>13</v>
      </c>
      <c r="AB4" s="2" t="s">
        <v>14</v>
      </c>
      <c r="AC4" s="10" t="s">
        <v>0</v>
      </c>
      <c r="AD4" s="10" t="s">
        <v>24</v>
      </c>
      <c r="AE4" s="2"/>
    </row>
    <row r="6" spans="1:31" ht="15.95" hidden="1" customHeight="1" x14ac:dyDescent="0.2">
      <c r="B6" s="3" t="s">
        <v>54</v>
      </c>
      <c r="C6" s="28" t="s">
        <v>130</v>
      </c>
    </row>
    <row r="7" spans="1:31" ht="15.95" hidden="1" customHeight="1" x14ac:dyDescent="0.2">
      <c r="B7" s="3" t="s">
        <v>40</v>
      </c>
      <c r="C7" s="28" t="s">
        <v>131</v>
      </c>
    </row>
    <row r="8" spans="1:31" ht="15.95" hidden="1" customHeight="1" x14ac:dyDescent="0.2">
      <c r="B8" s="3" t="s">
        <v>55</v>
      </c>
      <c r="C8" s="23" t="s">
        <v>60</v>
      </c>
    </row>
    <row r="9" spans="1:31" ht="15.95" hidden="1" customHeight="1" x14ac:dyDescent="0.2">
      <c r="B9" s="3" t="s">
        <v>2</v>
      </c>
      <c r="C9" s="23" t="s">
        <v>128</v>
      </c>
    </row>
    <row r="10" spans="1:31" ht="15.95" hidden="1" customHeight="1" x14ac:dyDescent="0.2">
      <c r="B10" s="3" t="s">
        <v>42</v>
      </c>
      <c r="C10" s="28" t="s">
        <v>59</v>
      </c>
    </row>
    <row r="11" spans="1:31" ht="15.95" hidden="1" customHeight="1" x14ac:dyDescent="0.2">
      <c r="B11" s="3" t="s">
        <v>56</v>
      </c>
      <c r="C11" s="23" t="s">
        <v>129</v>
      </c>
    </row>
    <row r="13" spans="1:31" ht="21.75" customHeight="1" x14ac:dyDescent="0.2">
      <c r="B13" s="4" t="s">
        <v>22</v>
      </c>
      <c r="C13" s="4"/>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1" ht="24.95" customHeight="1" x14ac:dyDescent="0.2">
      <c r="B14" s="16" t="str">
        <f>Actuals!$B$16</f>
        <v>Gross Margin</v>
      </c>
      <c r="C14" s="16"/>
      <c r="D14" s="6">
        <f>Actuals!AG$16</f>
        <v>693840</v>
      </c>
      <c r="E14" s="6">
        <f>Actuals!AH$16</f>
        <v>753948</v>
      </c>
      <c r="F14" s="6">
        <f>Actuals!AI$16</f>
        <v>900360</v>
      </c>
      <c r="G14" s="6">
        <f>Actuals!AJ$16</f>
        <v>947925</v>
      </c>
      <c r="H14" s="6">
        <f>Actuals!AK$16</f>
        <v>958755</v>
      </c>
      <c r="I14" s="6">
        <f>Actuals!AL$16</f>
        <v>971210</v>
      </c>
      <c r="J14" s="6">
        <f>Actuals!AM$16</f>
        <v>832283</v>
      </c>
      <c r="K14" s="6">
        <f>Actuals!AN$16</f>
        <v>851840</v>
      </c>
      <c r="L14" s="6">
        <f>Actuals!AO$16</f>
        <v>926364</v>
      </c>
      <c r="M14" s="6">
        <f>Actuals!AP$16</f>
        <v>992670</v>
      </c>
      <c r="N14" s="6">
        <f>Actuals!AQ$16</f>
        <v>909006</v>
      </c>
      <c r="O14" s="6">
        <f>Actuals!AR$16</f>
        <v>740304</v>
      </c>
      <c r="P14" s="7">
        <f>SUM(D14:O14)</f>
        <v>10478505</v>
      </c>
      <c r="Q14" s="28">
        <f>D14*(1+Frame!$C$20)</f>
        <v>797915.99999999988</v>
      </c>
      <c r="R14" s="28">
        <f>E14*(1+Frame!$C$20)</f>
        <v>867040.2</v>
      </c>
      <c r="S14" s="28">
        <f>F14*(1+Frame!$C$20)</f>
        <v>1035413.9999999999</v>
      </c>
      <c r="T14" s="28">
        <f>G14*(1+Frame!$C$20)</f>
        <v>1090113.75</v>
      </c>
      <c r="U14" s="28">
        <f>H14*(1+Frame!$C$20)</f>
        <v>1102568.25</v>
      </c>
      <c r="V14" s="28">
        <f>I14*(1+Frame!$C$20)</f>
        <v>1116891.5</v>
      </c>
      <c r="W14" s="28">
        <f>J14*(1+Frame!$C$20)</f>
        <v>957125.45</v>
      </c>
      <c r="X14" s="28">
        <f>K14*(1+Frame!$C$20)</f>
        <v>979615.99999999988</v>
      </c>
      <c r="Y14" s="28">
        <f>L14*(1+Frame!$C$20)</f>
        <v>1065318.5999999999</v>
      </c>
      <c r="Z14" s="28">
        <f>M14*(1+Frame!$C$20)</f>
        <v>1141570.5</v>
      </c>
      <c r="AA14" s="28">
        <f>N14*(1+Frame!$C$20)</f>
        <v>1045356.8999999999</v>
      </c>
      <c r="AB14" s="28">
        <f>O14*(1+Frame!$C$20)</f>
        <v>851349.6</v>
      </c>
      <c r="AC14" s="7">
        <f t="shared" ref="AC14" si="1">SUM(Q14:AB14)</f>
        <v>12050280.75</v>
      </c>
      <c r="AD14" s="12"/>
    </row>
    <row r="16" spans="1:31" ht="20.100000000000001" customHeight="1" x14ac:dyDescent="0.2">
      <c r="B16" s="4" t="s">
        <v>2</v>
      </c>
      <c r="C16" s="4"/>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2:30" ht="24.95" customHeight="1" x14ac:dyDescent="0.2">
      <c r="B17" s="3" t="str" cm="1">
        <f t="array" ref="B17:B19">IFERROR(_xlfn._xlws.FILTER(Actuals!$B$7:$B$13,Actuals!$H$7:$H$13),"No Drivers Selected")</f>
        <v>Units sold</v>
      </c>
      <c r="C17" s="13"/>
      <c r="D17" s="6" cm="1">
        <f t="array" ref="D17:D19">_xlfn.XLOOKUP(_xlfn.ANCHORARRAY($B17),Actuals!$B$7:$B$13,Actuals!AG$7:AG$13,0)</f>
        <v>1470</v>
      </c>
      <c r="E17" s="6" cm="1">
        <f t="array" ref="E17:E19">_xlfn.XLOOKUP(_xlfn.ANCHORARRAY($B17),Actuals!$B$7:$B$13,Actuals!AH$7:AH$13,0)</f>
        <v>1611</v>
      </c>
      <c r="F17" s="6" cm="1">
        <f t="array" ref="F17:F19">_xlfn.XLOOKUP(_xlfn.ANCHORARRAY($B17),Actuals!$B$7:$B$13,Actuals!AI$7:AI$13,0)</f>
        <v>1845</v>
      </c>
      <c r="G17" s="6" cm="1">
        <f t="array" ref="G17:G19">_xlfn.XLOOKUP(_xlfn.ANCHORARRAY($B17),Actuals!$B$7:$B$13,Actuals!AJ$7:AJ$13,0)</f>
        <v>1915</v>
      </c>
      <c r="H17" s="6" cm="1">
        <f t="array" ref="H17:H19">_xlfn.XLOOKUP(_xlfn.ANCHORARRAY($B17),Actuals!$B$7:$B$13,Actuals!AK$7:AK$13,0)</f>
        <v>1985</v>
      </c>
      <c r="I17" s="6" cm="1">
        <f t="array" ref="I17:I19">_xlfn.XLOOKUP(_xlfn.ANCHORARRAY($B17),Actuals!$B$7:$B$13,Actuals!AL$7:AL$13,0)</f>
        <v>1970</v>
      </c>
      <c r="J17" s="6" cm="1">
        <f t="array" ref="J17:J19">_xlfn.XLOOKUP(_xlfn.ANCHORARRAY($B17),Actuals!$B$7:$B$13,Actuals!AM$7:AM$13,0)</f>
        <v>1709</v>
      </c>
      <c r="K17" s="6" cm="1">
        <f t="array" ref="K17:K19">_xlfn.XLOOKUP(_xlfn.ANCHORARRAY($B17),Actuals!$B$7:$B$13,Actuals!AN$7:AN$13,0)</f>
        <v>1760</v>
      </c>
      <c r="L17" s="6" cm="1">
        <f t="array" ref="L17:L19">_xlfn.XLOOKUP(_xlfn.ANCHORARRAY($B17),Actuals!$B$7:$B$13,Actuals!AO$7:AO$13,0)</f>
        <v>1938</v>
      </c>
      <c r="M17" s="6" cm="1">
        <f t="array" ref="M17:M19">_xlfn.XLOOKUP(_xlfn.ANCHORARRAY($B17),Actuals!$B$7:$B$13,Actuals!AP$7:AP$13,0)</f>
        <v>2030</v>
      </c>
      <c r="N17" s="6" cm="1">
        <f t="array" ref="N17:N19">_xlfn.XLOOKUP(_xlfn.ANCHORARRAY($B17),Actuals!$B$7:$B$13,Actuals!AQ$7:AQ$13,0)</f>
        <v>1882</v>
      </c>
      <c r="O17" s="6" cm="1">
        <f t="array" ref="O17:O19">_xlfn.XLOOKUP(_xlfn.ANCHORARRAY($B17),Actuals!$B$7:$B$13,Actuals!AR$7:AR$13,0)</f>
        <v>1552</v>
      </c>
      <c r="P17" s="7">
        <f>IF(_xlfn.XLOOKUP($B17,Actuals!$B$7:$B$13,Actuals!$G$7:$G$13,"")="Average",AVERAGE(D17:O17),SUM(D17:O17))</f>
        <v>21667</v>
      </c>
      <c r="Q17" s="8">
        <f>D17*1.08</f>
        <v>1587.6000000000001</v>
      </c>
      <c r="R17" s="8">
        <f t="shared" ref="R17:AB17" si="2">E17*1.08</f>
        <v>1739.88</v>
      </c>
      <c r="S17" s="8">
        <f t="shared" si="2"/>
        <v>1992.6000000000001</v>
      </c>
      <c r="T17" s="8">
        <f t="shared" si="2"/>
        <v>2068.2000000000003</v>
      </c>
      <c r="U17" s="8">
        <f t="shared" si="2"/>
        <v>2143.8000000000002</v>
      </c>
      <c r="V17" s="8">
        <f t="shared" si="2"/>
        <v>2127.6000000000004</v>
      </c>
      <c r="W17" s="8">
        <f t="shared" si="2"/>
        <v>1845.72</v>
      </c>
      <c r="X17" s="8">
        <f t="shared" si="2"/>
        <v>1900.8000000000002</v>
      </c>
      <c r="Y17" s="8">
        <f t="shared" si="2"/>
        <v>2093.04</v>
      </c>
      <c r="Z17" s="8">
        <v>3000</v>
      </c>
      <c r="AA17" s="8">
        <f t="shared" si="2"/>
        <v>2032.5600000000002</v>
      </c>
      <c r="AB17" s="8">
        <f t="shared" si="2"/>
        <v>1676.16</v>
      </c>
      <c r="AC17" s="7">
        <f>IF(COUNT(Q17:AB17)=0,"",IF(_xlfn.XLOOKUP($B17,Actuals!$B$7:$B$13,Actuals!$G$7:$G$13,"")="Average",AVERAGE(Q17:AB17),SUM(Q17:AB17)))</f>
        <v>24207.960000000003</v>
      </c>
      <c r="AD17" s="12" t="s">
        <v>132</v>
      </c>
    </row>
    <row r="18" spans="2:30" ht="24.95" customHeight="1" x14ac:dyDescent="0.2">
      <c r="B18" s="3" t="str">
        <v>Average price</v>
      </c>
      <c r="C18" s="13"/>
      <c r="D18" s="6">
        <v>1210</v>
      </c>
      <c r="E18" s="6">
        <v>1207</v>
      </c>
      <c r="F18" s="6">
        <v>1235</v>
      </c>
      <c r="G18" s="6">
        <v>1239</v>
      </c>
      <c r="H18" s="6">
        <v>1237</v>
      </c>
      <c r="I18" s="6">
        <v>1242</v>
      </c>
      <c r="J18" s="6">
        <v>1238</v>
      </c>
      <c r="K18" s="6">
        <v>1245</v>
      </c>
      <c r="L18" s="6">
        <v>1237</v>
      </c>
      <c r="M18" s="6">
        <v>1243</v>
      </c>
      <c r="N18" s="6">
        <v>1240</v>
      </c>
      <c r="O18" s="6">
        <v>1239</v>
      </c>
      <c r="P18" s="7">
        <f>IF(_xlfn.XLOOKUP($B18,Actuals!$B$7:$B$13,Actuals!$G$7:$G$13,"")="Average",AVERAGE(D18:O18),SUM(D18:O18))</f>
        <v>1234.3333333333333</v>
      </c>
      <c r="Q18" s="45">
        <v>1259.2424336536301</v>
      </c>
      <c r="R18" s="45">
        <v>1256.1203449751499</v>
      </c>
      <c r="S18" s="45">
        <v>1285.25983930763</v>
      </c>
      <c r="T18" s="45">
        <v>1289.42262421227</v>
      </c>
      <c r="U18" s="45">
        <v>1287.34123175995</v>
      </c>
      <c r="V18" s="45">
        <v>1292.5447128907499</v>
      </c>
      <c r="W18" s="45">
        <v>1288.38192798611</v>
      </c>
      <c r="X18" s="45">
        <v>1295.6668015692301</v>
      </c>
      <c r="Y18" s="45">
        <v>1287.34123175995</v>
      </c>
      <c r="Z18" s="45">
        <v>1293.5854091169099</v>
      </c>
      <c r="AA18" s="45">
        <v>1290.4633204384299</v>
      </c>
      <c r="AB18" s="45">
        <v>1289.42262421227</v>
      </c>
      <c r="AC18" s="7">
        <f>IF(COUNT(Q18:AB18)=0,"",IF(_xlfn.XLOOKUP($B18,Actuals!$B$7:$B$13,Actuals!$G$7:$G$13,"")="Average",AVERAGE(Q18:AB18),SUM(Q18:AB18)))</f>
        <v>1284.5660418235232</v>
      </c>
      <c r="AD18" s="12" t="s">
        <v>62</v>
      </c>
    </row>
    <row r="19" spans="2:30" ht="24.95" customHeight="1" x14ac:dyDescent="0.2">
      <c r="B19" s="3" t="str">
        <v>Unit cost</v>
      </c>
      <c r="C19" s="13"/>
      <c r="D19" s="6">
        <v>738</v>
      </c>
      <c r="E19" s="6">
        <v>739</v>
      </c>
      <c r="F19" s="6">
        <v>747</v>
      </c>
      <c r="G19" s="6">
        <v>744</v>
      </c>
      <c r="H19" s="6">
        <v>754</v>
      </c>
      <c r="I19" s="6">
        <v>749</v>
      </c>
      <c r="J19" s="6">
        <v>751</v>
      </c>
      <c r="K19" s="6">
        <v>761</v>
      </c>
      <c r="L19" s="6">
        <v>759</v>
      </c>
      <c r="M19" s="6">
        <v>754</v>
      </c>
      <c r="N19" s="6">
        <v>757</v>
      </c>
      <c r="O19" s="6">
        <v>762</v>
      </c>
      <c r="P19" s="7">
        <f>IF(_xlfn.XLOOKUP($B19,Actuals!$B$7:$B$13,Actuals!$G$7:$G$13,"")="Average",AVERAGE(D19:O19),SUM(D19:O19))</f>
        <v>751.25</v>
      </c>
      <c r="Q19" s="45">
        <v>755.62267922512603</v>
      </c>
      <c r="R19" s="45">
        <v>757.36287962144695</v>
      </c>
      <c r="S19" s="45">
        <v>759.10308001776798</v>
      </c>
      <c r="T19" s="45">
        <v>760.84328041408799</v>
      </c>
      <c r="U19" s="45">
        <v>762.58348081040901</v>
      </c>
      <c r="V19" s="45">
        <v>764.32368120673004</v>
      </c>
      <c r="W19" s="45">
        <v>766.06388160305005</v>
      </c>
      <c r="X19" s="45">
        <v>767.80408199937096</v>
      </c>
      <c r="Y19" s="45">
        <v>769.54428239569199</v>
      </c>
      <c r="Z19" s="45">
        <v>771.284482792012</v>
      </c>
      <c r="AA19" s="45">
        <v>773.02468318833303</v>
      </c>
      <c r="AB19" s="45">
        <v>774.76488358465303</v>
      </c>
      <c r="AC19" s="7">
        <f>IF(COUNT(Q19:AB19)=0,"",IF(_xlfn.XLOOKUP($B19,Actuals!$B$7:$B$13,Actuals!$G$7:$G$13,"")="Average",AVERAGE(Q19:AB19),SUM(Q19:AB19)))</f>
        <v>765.19378140489005</v>
      </c>
      <c r="AD19" s="12" t="s">
        <v>62</v>
      </c>
    </row>
    <row r="20" spans="2:30" ht="24.95" customHeight="1" x14ac:dyDescent="0.2">
      <c r="B20" s="3"/>
      <c r="C20" s="13"/>
      <c r="D20" s="6"/>
      <c r="E20" s="6"/>
      <c r="F20" s="6"/>
      <c r="G20" s="6"/>
      <c r="H20" s="6"/>
      <c r="I20" s="6"/>
      <c r="J20" s="6"/>
      <c r="K20" s="6"/>
      <c r="L20" s="6"/>
      <c r="M20" s="6"/>
      <c r="N20" s="6"/>
      <c r="O20" s="6"/>
      <c r="P20" s="7">
        <f>IF(_xlfn.XLOOKUP($B20,Actuals!$B$7:$B$13,Actuals!$G$7:$G$13,"")="Average",AVERAGE(D20:O20),SUM(D20:O20))</f>
        <v>0</v>
      </c>
      <c r="Q20" s="8"/>
      <c r="R20" s="8"/>
      <c r="S20" s="8"/>
      <c r="T20" s="8"/>
      <c r="U20" s="8"/>
      <c r="V20" s="8"/>
      <c r="W20" s="8"/>
      <c r="X20" s="8"/>
      <c r="Y20" s="8"/>
      <c r="Z20" s="8"/>
      <c r="AA20" s="8"/>
      <c r="AB20" s="8"/>
      <c r="AC20" s="7" t="str">
        <f>IF(COUNT(Q20:AB20)=0,"",IF(_xlfn.XLOOKUP($B20,Actuals!$B$7:$B$13,Actuals!$G$7:$G$13,"")="Average",AVERAGE(Q20:AB20),SUM(Q20:AB20)))</f>
        <v/>
      </c>
      <c r="AD20" s="12"/>
    </row>
    <row r="21" spans="2:30" ht="24.95" customHeight="1" x14ac:dyDescent="0.2">
      <c r="B21" s="3"/>
      <c r="C21" s="13"/>
      <c r="D21" s="6"/>
      <c r="E21" s="6"/>
      <c r="F21" s="6"/>
      <c r="G21" s="6"/>
      <c r="H21" s="6"/>
      <c r="I21" s="6"/>
      <c r="J21" s="6"/>
      <c r="K21" s="6"/>
      <c r="L21" s="6"/>
      <c r="M21" s="6"/>
      <c r="N21" s="6"/>
      <c r="O21" s="6"/>
      <c r="P21" s="7">
        <f>IF(_xlfn.XLOOKUP($B21,Actuals!$B$7:$B$13,Actuals!$G$7:$G$13,"")="Average",AVERAGE(D21:O21),SUM(D21:O21))</f>
        <v>0</v>
      </c>
      <c r="Q21" s="8"/>
      <c r="R21" s="8"/>
      <c r="S21" s="8"/>
      <c r="T21" s="8"/>
      <c r="U21" s="8"/>
      <c r="V21" s="8"/>
      <c r="W21" s="8"/>
      <c r="X21" s="8"/>
      <c r="Y21" s="8"/>
      <c r="Z21" s="8"/>
      <c r="AA21" s="8"/>
      <c r="AB21" s="8"/>
      <c r="AC21" s="7" t="str">
        <f>IF(COUNT(Q21:AB21)=0,"",IF(_xlfn.XLOOKUP($B21,Actuals!$B$7:$B$13,Actuals!$G$7:$G$13,"")="Average",AVERAGE(Q21:AB21),SUM(Q21:AB21)))</f>
        <v/>
      </c>
      <c r="AD21" s="12"/>
    </row>
    <row r="22" spans="2:30" ht="24.95" customHeight="1" x14ac:dyDescent="0.2">
      <c r="B22" s="3"/>
      <c r="C22" s="13"/>
      <c r="D22" s="29"/>
      <c r="E22" s="29"/>
      <c r="F22" s="29"/>
      <c r="G22" s="29"/>
      <c r="H22" s="29"/>
      <c r="I22" s="29"/>
      <c r="J22" s="29"/>
      <c r="K22" s="29"/>
      <c r="L22" s="29"/>
      <c r="M22" s="29"/>
      <c r="N22" s="29"/>
      <c r="O22" s="29"/>
      <c r="P22" s="30">
        <f>IF(_xlfn.XLOOKUP($B22,Actuals!$B$7:$B$13,Actuals!$G$7:$G$13,"")="Average",AVERAGE(D22:O22),SUM(D22:O22))</f>
        <v>0</v>
      </c>
      <c r="Q22" s="8"/>
      <c r="R22" s="8"/>
      <c r="S22" s="8"/>
      <c r="T22" s="8"/>
      <c r="U22" s="8"/>
      <c r="V22" s="8"/>
      <c r="W22" s="8"/>
      <c r="X22" s="8"/>
      <c r="Y22" s="8"/>
      <c r="Z22" s="8"/>
      <c r="AA22" s="8"/>
      <c r="AB22" s="8"/>
      <c r="AC22" s="30" t="str">
        <f>IF(COUNT(Q22:AB22)=0,"",IF(_xlfn.XLOOKUP($B22,Actuals!$B$7:$B$13,Actuals!$G$7:$G$13,"")="Average",AVERAGE(Q22:AB22),SUM(Q22:AB22)))</f>
        <v/>
      </c>
      <c r="AD22" s="12"/>
    </row>
    <row r="23" spans="2:30" ht="24.95" customHeight="1" x14ac:dyDescent="0.2">
      <c r="B23" s="3"/>
      <c r="C23" s="13"/>
      <c r="D23" s="25"/>
      <c r="E23" s="25"/>
      <c r="F23" s="25"/>
      <c r="G23" s="25"/>
      <c r="H23" s="25"/>
      <c r="I23" s="25"/>
      <c r="J23" s="25"/>
      <c r="K23" s="25"/>
      <c r="L23" s="25"/>
      <c r="M23" s="25"/>
      <c r="N23" s="25"/>
      <c r="O23" s="25"/>
      <c r="P23" s="24"/>
      <c r="Q23" s="8"/>
      <c r="R23" s="8"/>
      <c r="S23" s="8"/>
      <c r="T23" s="8"/>
      <c r="U23" s="8"/>
      <c r="V23" s="8"/>
      <c r="W23" s="8"/>
      <c r="X23" s="8"/>
      <c r="Y23" s="8"/>
      <c r="Z23" s="8"/>
      <c r="AA23" s="8"/>
      <c r="AB23" s="8"/>
      <c r="AC23" s="7"/>
      <c r="AD23" s="12"/>
    </row>
    <row r="25" spans="2:30" ht="21.75" customHeight="1" x14ac:dyDescent="0.2">
      <c r="B25" s="4" t="s">
        <v>47</v>
      </c>
      <c r="C25" s="4"/>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2:30" ht="24.95" customHeight="1" x14ac:dyDescent="0.2">
      <c r="B26" s="16" t="s">
        <v>23</v>
      </c>
      <c r="C26" s="16"/>
      <c r="D26" s="6">
        <f>Actuals!AG16</f>
        <v>693840</v>
      </c>
      <c r="E26" s="6">
        <f>Actuals!AH16</f>
        <v>753948</v>
      </c>
      <c r="F26" s="6">
        <f>Actuals!AI16</f>
        <v>900360</v>
      </c>
      <c r="G26" s="6">
        <f>Actuals!AJ16</f>
        <v>947925</v>
      </c>
      <c r="H26" s="6">
        <f>Actuals!AK16</f>
        <v>958755</v>
      </c>
      <c r="I26" s="6">
        <f>Actuals!AL16</f>
        <v>971210</v>
      </c>
      <c r="J26" s="6">
        <f>Actuals!AM16</f>
        <v>832283</v>
      </c>
      <c r="K26" s="6">
        <f>Actuals!AN16</f>
        <v>851840</v>
      </c>
      <c r="L26" s="6">
        <f>Actuals!AO16</f>
        <v>926364</v>
      </c>
      <c r="M26" s="6">
        <f>Actuals!AP16</f>
        <v>992670</v>
      </c>
      <c r="N26" s="6">
        <f>Actuals!AQ16</f>
        <v>909006</v>
      </c>
      <c r="O26" s="6">
        <f>Actuals!AR16</f>
        <v>740304</v>
      </c>
      <c r="P26" s="7">
        <f t="shared" ref="P26:P31" si="3">SUM(D26:O26)</f>
        <v>10478505</v>
      </c>
      <c r="Q26" s="54" cm="1">
        <f t="array" ref="Q26">TargetBase*(1+Intercept+SUMPRODUCT(Effects,IF(DriverBase="",0,Q17:Q23/IF(DriverBase="",1,DriverBase)-1)))</f>
        <v>804821.74258822668</v>
      </c>
      <c r="R26" s="54" cm="1">
        <f t="array" ref="R26">TargetBase*(1+Intercept+SUMPRODUCT(Effects,IF(DriverBase="",0,R17:R23/IF(DriverBase="",1,DriverBase)-1)))</f>
        <v>868890.96628033614</v>
      </c>
      <c r="S26" s="54" cm="1">
        <f t="array" ref="S26">TargetBase*(1+Intercept+SUMPRODUCT(Effects,IF(DriverBase="",0,S17:S23/IF(DriverBase="",1,DriverBase)-1)))</f>
        <v>1035787.3177637947</v>
      </c>
      <c r="T26" s="54" cm="1">
        <f t="array" ref="T26">TargetBase*(1+Intercept+SUMPRODUCT(Effects,IF(DriverBase="",0,T17:T23/IF(DriverBase="",1,DriverBase)-1)))</f>
        <v>1075889.876591156</v>
      </c>
      <c r="U26" s="54" cm="1">
        <f t="array" ref="U26">TargetBase*(1+Intercept+SUMPRODUCT(Effects,IF(DriverBase="",0,U17:U23/IF(DriverBase="",1,DriverBase)-1)))</f>
        <v>1105322.3942387877</v>
      </c>
      <c r="V26" s="54" cm="1">
        <f t="array" ref="V26">TargetBase*(1+Intercept+SUMPRODUCT(Effects,IF(DriverBase="",0,V17:V23/IF(DriverBase="",1,DriverBase)-1)))</f>
        <v>1103607.8153684945</v>
      </c>
      <c r="W26" s="54" cm="1">
        <f t="array" ref="W26">TargetBase*(1+Intercept+SUMPRODUCT(Effects,IF(DriverBase="",0,W17:W23/IF(DriverBase="",1,DriverBase)-1)))</f>
        <v>959717.73282283102</v>
      </c>
      <c r="X26" s="54" cm="1">
        <f t="array" ref="X26">TargetBase*(1+Intercept+SUMPRODUCT(Effects,IF(DriverBase="",0,X17:X23/IF(DriverBase="",1,DriverBase)-1)))</f>
        <v>995410.44071074668</v>
      </c>
      <c r="Y26" s="54" cm="1">
        <f t="array" ref="Y26">TargetBase*(1+Intercept+SUMPRODUCT(Effects,IF(DriverBase="",0,Y17:Y23/IF(DriverBase="",1,DriverBase)-1)))</f>
        <v>1069564.8185031395</v>
      </c>
      <c r="Z26" s="54" cm="1">
        <f t="array" ref="Z26">TargetBase*(1+Intercept+SUMPRODUCT(Effects,IF(DriverBase="",0,Z17:Z23/IF(DriverBase="",1,DriverBase)-1)))</f>
        <v>1508033.8235427351</v>
      </c>
      <c r="AA26" s="54" cm="1">
        <f t="array" ref="AA26">TargetBase*(1+Intercept+SUMPRODUCT(Effects,IF(DriverBase="",0,AA17:AA23/IF(DriverBase="",1,DriverBase)-1)))</f>
        <v>1040352.1920303105</v>
      </c>
      <c r="AB26" s="54" cm="1">
        <f t="array" ref="AB26">TargetBase*(1+Intercept+SUMPRODUCT(Effects,IF(DriverBase="",0,AB17:AB23/IF(DriverBase="",1,DriverBase)-1)))</f>
        <v>866407.85978386516</v>
      </c>
      <c r="AC26" s="7">
        <f t="shared" ref="AC26:AC31" si="4">SUM(Q26:AB26)</f>
        <v>12433806.980224423</v>
      </c>
      <c r="AD26" s="12"/>
    </row>
    <row r="27" spans="2:30" ht="24.95" customHeight="1" x14ac:dyDescent="0.2">
      <c r="B27" s="17" t="str">
        <f>Actuals!$B17</f>
        <v>Product Revenue</v>
      </c>
      <c r="C27" s="13"/>
      <c r="D27" s="6">
        <f>Actuals!AG17</f>
        <v>1442729</v>
      </c>
      <c r="E27" s="6">
        <f>Actuals!AH17</f>
        <v>1594221</v>
      </c>
      <c r="F27" s="6">
        <f>Actuals!AI17</f>
        <v>1878989</v>
      </c>
      <c r="G27" s="6">
        <f>Actuals!AJ17</f>
        <v>1959269</v>
      </c>
      <c r="H27" s="6">
        <f>Actuals!AK17</f>
        <v>1996240</v>
      </c>
      <c r="I27" s="6">
        <f>Actuals!AL17</f>
        <v>2004034</v>
      </c>
      <c r="J27" s="6">
        <f>Actuals!AM17</f>
        <v>1755051</v>
      </c>
      <c r="K27" s="6">
        <f>Actuals!AN17</f>
        <v>1806842</v>
      </c>
      <c r="L27" s="6">
        <f>Actuals!AO17</f>
        <v>1961178</v>
      </c>
      <c r="M27" s="6">
        <f>Actuals!AP17</f>
        <v>2093745</v>
      </c>
      <c r="N27" s="6">
        <f>Actuals!AQ17</f>
        <v>1913586</v>
      </c>
      <c r="O27" s="6">
        <f>Actuals!AR17</f>
        <v>1568044</v>
      </c>
      <c r="P27" s="7">
        <f t="shared" si="3"/>
        <v>21973928</v>
      </c>
      <c r="Q27" s="6">
        <f t="shared" ref="Q27:AB31" si="5">IF(D$26=0,0,D27/D$26)*Q$26</f>
        <v>1673497.7341499045</v>
      </c>
      <c r="R27" s="6">
        <f t="shared" si="5"/>
        <v>1837267.5902773186</v>
      </c>
      <c r="S27" s="6">
        <f t="shared" si="5"/>
        <v>2161616.4383331942</v>
      </c>
      <c r="T27" s="6">
        <f t="shared" si="5"/>
        <v>2223759.9837739035</v>
      </c>
      <c r="U27" s="6">
        <f t="shared" si="5"/>
        <v>2301410.4502977692</v>
      </c>
      <c r="V27" s="6">
        <f t="shared" si="5"/>
        <v>2277229.0077987104</v>
      </c>
      <c r="W27" s="6">
        <f t="shared" si="5"/>
        <v>2023775.0461182585</v>
      </c>
      <c r="X27" s="6">
        <f t="shared" si="5"/>
        <v>2111369.9656211105</v>
      </c>
      <c r="Y27" s="6">
        <f t="shared" si="5"/>
        <v>2264344.2444032258</v>
      </c>
      <c r="Z27" s="6">
        <f t="shared" si="5"/>
        <v>3180753.198820841</v>
      </c>
      <c r="AA27" s="6">
        <f t="shared" si="5"/>
        <v>2190088.282957993</v>
      </c>
      <c r="AB27" s="6">
        <f t="shared" si="5"/>
        <v>1835145.6240773131</v>
      </c>
      <c r="AC27" s="7">
        <f t="shared" si="4"/>
        <v>26080257.56662954</v>
      </c>
      <c r="AD27" s="12"/>
    </row>
    <row r="28" spans="2:30" ht="24.95" customHeight="1" x14ac:dyDescent="0.2">
      <c r="B28" s="17" t="str">
        <f>Actuals!$B18</f>
        <v>Service Revenue</v>
      </c>
      <c r="C28" s="13"/>
      <c r="D28" s="6">
        <f>Actuals!AG18</f>
        <v>335971</v>
      </c>
      <c r="E28" s="6">
        <f>Actuals!AH18</f>
        <v>350256</v>
      </c>
      <c r="F28" s="6">
        <f>Actuals!AI18</f>
        <v>399586</v>
      </c>
      <c r="G28" s="6">
        <f>Actuals!AJ18</f>
        <v>413416</v>
      </c>
      <c r="H28" s="6">
        <f>Actuals!AK18</f>
        <v>459205</v>
      </c>
      <c r="I28" s="6">
        <f>Actuals!AL18</f>
        <v>442706</v>
      </c>
      <c r="J28" s="6">
        <f>Actuals!AM18</f>
        <v>360691</v>
      </c>
      <c r="K28" s="6">
        <f>Actuals!AN18</f>
        <v>384358</v>
      </c>
      <c r="L28" s="6">
        <f>Actuals!AO18</f>
        <v>436128</v>
      </c>
      <c r="M28" s="6">
        <f>Actuals!AP18</f>
        <v>429545</v>
      </c>
      <c r="N28" s="6">
        <f>Actuals!AQ18</f>
        <v>420094</v>
      </c>
      <c r="O28" s="6">
        <f>Actuals!AR18</f>
        <v>354884</v>
      </c>
      <c r="P28" s="7">
        <f t="shared" si="3"/>
        <v>4786840</v>
      </c>
      <c r="Q28" s="6">
        <f t="shared" si="5"/>
        <v>389710.54663771053</v>
      </c>
      <c r="R28" s="6">
        <f t="shared" si="5"/>
        <v>403654.19668927486</v>
      </c>
      <c r="S28" s="6">
        <f t="shared" si="5"/>
        <v>459689.58100755658</v>
      </c>
      <c r="T28" s="6">
        <f t="shared" si="5"/>
        <v>469224.98005729285</v>
      </c>
      <c r="U28" s="6">
        <f t="shared" si="5"/>
        <v>529404.87407775968</v>
      </c>
      <c r="V28" s="6">
        <f t="shared" si="5"/>
        <v>503056.80698358209</v>
      </c>
      <c r="W28" s="6">
        <f t="shared" si="5"/>
        <v>415918.08167366119</v>
      </c>
      <c r="X28" s="6">
        <f t="shared" si="5"/>
        <v>449138.29612450837</v>
      </c>
      <c r="Y28" s="6">
        <f t="shared" si="5"/>
        <v>503546.30055155128</v>
      </c>
      <c r="Z28" s="6">
        <f t="shared" si="5"/>
        <v>652551.59190230805</v>
      </c>
      <c r="AA28" s="6">
        <f t="shared" si="5"/>
        <v>480795.19140553667</v>
      </c>
      <c r="AB28" s="6">
        <f t="shared" si="5"/>
        <v>415335.16894618585</v>
      </c>
      <c r="AC28" s="7">
        <f t="shared" si="4"/>
        <v>5672025.6160569284</v>
      </c>
      <c r="AD28" s="12"/>
    </row>
    <row r="29" spans="2:30" ht="24.95" customHeight="1" x14ac:dyDescent="0.2">
      <c r="B29" s="17" t="str">
        <f>Actuals!$B19</f>
        <v>Materials</v>
      </c>
      <c r="C29" s="13"/>
      <c r="D29" s="6">
        <f>Actuals!AG19</f>
        <v>681641</v>
      </c>
      <c r="E29" s="6">
        <f>Actuals!AH19</f>
        <v>746186</v>
      </c>
      <c r="F29" s="6">
        <f>Actuals!AI19</f>
        <v>866892</v>
      </c>
      <c r="G29" s="6">
        <f>Actuals!AJ19</f>
        <v>872142</v>
      </c>
      <c r="H29" s="6">
        <f>Actuals!AK19</f>
        <v>938267</v>
      </c>
      <c r="I29" s="6">
        <f>Actuals!AL19</f>
        <v>929563</v>
      </c>
      <c r="J29" s="6">
        <f>Actuals!AM19</f>
        <v>794552</v>
      </c>
      <c r="K29" s="6">
        <f>Actuals!AN19</f>
        <v>829842</v>
      </c>
      <c r="L29" s="6">
        <f>Actuals!AO19</f>
        <v>901585</v>
      </c>
      <c r="M29" s="6">
        <f>Actuals!AP19</f>
        <v>963060</v>
      </c>
      <c r="N29" s="6">
        <f>Actuals!AQ19</f>
        <v>878696</v>
      </c>
      <c r="O29" s="6">
        <f>Actuals!AR19</f>
        <v>739897</v>
      </c>
      <c r="P29" s="7">
        <f t="shared" si="3"/>
        <v>10142323</v>
      </c>
      <c r="Q29" s="6">
        <f t="shared" si="5"/>
        <v>790671.47676637466</v>
      </c>
      <c r="R29" s="6">
        <f t="shared" si="5"/>
        <v>859945.61238289496</v>
      </c>
      <c r="S29" s="6">
        <f t="shared" si="5"/>
        <v>997285.2408713086</v>
      </c>
      <c r="T29" s="6">
        <f t="shared" si="5"/>
        <v>989876.57119494048</v>
      </c>
      <c r="U29" s="6">
        <f t="shared" si="5"/>
        <v>1081702.3398837498</v>
      </c>
      <c r="V29" s="6">
        <f t="shared" si="5"/>
        <v>1056283.3904895787</v>
      </c>
      <c r="W29" s="6">
        <f t="shared" si="5"/>
        <v>916209.56339351635</v>
      </c>
      <c r="X29" s="6">
        <f t="shared" si="5"/>
        <v>969704.86351930816</v>
      </c>
      <c r="Y29" s="6">
        <f t="shared" si="5"/>
        <v>1040955.387828276</v>
      </c>
      <c r="Z29" s="6">
        <f t="shared" si="5"/>
        <v>1463051.2195402968</v>
      </c>
      <c r="AA29" s="6">
        <f t="shared" si="5"/>
        <v>1005662.5695850916</v>
      </c>
      <c r="AB29" s="6">
        <f t="shared" si="5"/>
        <v>865931.53114193957</v>
      </c>
      <c r="AC29" s="7">
        <f t="shared" si="4"/>
        <v>12037279.766597275</v>
      </c>
      <c r="AD29" s="12"/>
    </row>
    <row r="30" spans="2:30" ht="24.95" customHeight="1" x14ac:dyDescent="0.2">
      <c r="B30" s="17" t="str">
        <f>Actuals!$B20</f>
        <v>Freight and duties</v>
      </c>
      <c r="C30" s="13"/>
      <c r="D30" s="6">
        <f>Actuals!AG20</f>
        <v>114265</v>
      </c>
      <c r="E30" s="6">
        <f>Actuals!AH20</f>
        <v>126560</v>
      </c>
      <c r="F30" s="6">
        <f>Actuals!AI20</f>
        <v>153401</v>
      </c>
      <c r="G30" s="6">
        <f>Actuals!AJ20</f>
        <v>155791</v>
      </c>
      <c r="H30" s="6">
        <f>Actuals!AK20</f>
        <v>161565</v>
      </c>
      <c r="I30" s="6">
        <f>Actuals!AL20</f>
        <v>167506</v>
      </c>
      <c r="J30" s="6">
        <f>Actuals!AM20</f>
        <v>141029</v>
      </c>
      <c r="K30" s="6">
        <f>Actuals!AN20</f>
        <v>144531</v>
      </c>
      <c r="L30" s="6">
        <f>Actuals!AO20</f>
        <v>159994</v>
      </c>
      <c r="M30" s="6">
        <f>Actuals!AP20</f>
        <v>170312</v>
      </c>
      <c r="N30" s="6">
        <f>Actuals!AQ20</f>
        <v>150861</v>
      </c>
      <c r="O30" s="6">
        <f>Actuals!AR20</f>
        <v>134433</v>
      </c>
      <c r="P30" s="7">
        <f t="shared" si="3"/>
        <v>1780248</v>
      </c>
      <c r="Q30" s="6">
        <f t="shared" si="5"/>
        <v>132542.02181604365</v>
      </c>
      <c r="R30" s="6">
        <f t="shared" si="5"/>
        <v>145854.67524609037</v>
      </c>
      <c r="S30" s="6">
        <f t="shared" si="5"/>
        <v>176474.75491168405</v>
      </c>
      <c r="T30" s="6">
        <f t="shared" si="5"/>
        <v>176821.96351400457</v>
      </c>
      <c r="U30" s="6">
        <f t="shared" si="5"/>
        <v>186263.86576882491</v>
      </c>
      <c r="V30" s="6">
        <f t="shared" si="5"/>
        <v>190340.84360860684</v>
      </c>
      <c r="W30" s="6">
        <f t="shared" si="5"/>
        <v>162622.60810598201</v>
      </c>
      <c r="X30" s="6">
        <f t="shared" si="5"/>
        <v>168890.47990980107</v>
      </c>
      <c r="Y30" s="6">
        <f t="shared" si="5"/>
        <v>184726.47206885339</v>
      </c>
      <c r="Z30" s="6">
        <f t="shared" si="5"/>
        <v>258732.76774276476</v>
      </c>
      <c r="AA30" s="6">
        <f t="shared" si="5"/>
        <v>172659.55564857073</v>
      </c>
      <c r="AB30" s="6">
        <f t="shared" si="5"/>
        <v>157332.40373457977</v>
      </c>
      <c r="AC30" s="7">
        <f t="shared" si="4"/>
        <v>2113262.4120758064</v>
      </c>
      <c r="AD30" s="12"/>
    </row>
    <row r="31" spans="2:30" ht="24.95" customHeight="1" x14ac:dyDescent="0.2">
      <c r="B31" s="17" t="str">
        <f>Actuals!$B21</f>
        <v>Direct labour</v>
      </c>
      <c r="C31" s="13"/>
      <c r="D31" s="6">
        <f>Actuals!AG21</f>
        <v>288954</v>
      </c>
      <c r="E31" s="6">
        <f>Actuals!AH21</f>
        <v>317783</v>
      </c>
      <c r="F31" s="6">
        <f>Actuals!AI21</f>
        <v>357922</v>
      </c>
      <c r="G31" s="6">
        <f>Actuals!AJ21</f>
        <v>396827</v>
      </c>
      <c r="H31" s="6">
        <f>Actuals!AK21</f>
        <v>396858</v>
      </c>
      <c r="I31" s="6">
        <f>Actuals!AL21</f>
        <v>378461</v>
      </c>
      <c r="J31" s="6">
        <f>Actuals!AM21</f>
        <v>347878</v>
      </c>
      <c r="K31" s="6">
        <f>Actuals!AN21</f>
        <v>364987</v>
      </c>
      <c r="L31" s="6">
        <f>Actuals!AO21</f>
        <v>409363</v>
      </c>
      <c r="M31" s="6">
        <f>Actuals!AP21</f>
        <v>397248</v>
      </c>
      <c r="N31" s="6">
        <f>Actuals!AQ21</f>
        <v>395117</v>
      </c>
      <c r="O31" s="6">
        <f>Actuals!AR21</f>
        <v>308294</v>
      </c>
      <c r="P31" s="7">
        <f t="shared" si="3"/>
        <v>4359692</v>
      </c>
      <c r="Q31" s="6">
        <f t="shared" si="5"/>
        <v>335173.03961697</v>
      </c>
      <c r="R31" s="6">
        <f t="shared" si="5"/>
        <v>366230.53305727197</v>
      </c>
      <c r="S31" s="6">
        <f t="shared" si="5"/>
        <v>411758.70579396345</v>
      </c>
      <c r="T31" s="6">
        <f t="shared" si="5"/>
        <v>450396.55253109545</v>
      </c>
      <c r="U31" s="6">
        <f t="shared" si="5"/>
        <v>457526.72448416625</v>
      </c>
      <c r="V31" s="6">
        <f t="shared" si="5"/>
        <v>430053.76531561225</v>
      </c>
      <c r="W31" s="6">
        <f t="shared" si="5"/>
        <v>401143.22346959001</v>
      </c>
      <c r="X31" s="6">
        <f t="shared" si="5"/>
        <v>426502.47760576312</v>
      </c>
      <c r="Y31" s="6">
        <f t="shared" si="5"/>
        <v>472643.86655450851</v>
      </c>
      <c r="Z31" s="6">
        <f t="shared" si="5"/>
        <v>603486.97989735205</v>
      </c>
      <c r="AA31" s="6">
        <f t="shared" si="5"/>
        <v>452209.15709955734</v>
      </c>
      <c r="AB31" s="6">
        <f t="shared" si="5"/>
        <v>360808.99836311425</v>
      </c>
      <c r="AC31" s="7">
        <f t="shared" si="4"/>
        <v>5167934.0237889644</v>
      </c>
      <c r="AD31" s="12"/>
    </row>
    <row r="32" spans="2:30" ht="26.25" customHeight="1" x14ac:dyDescent="0.2"/>
    <row r="33" ht="26.25" customHeight="1" x14ac:dyDescent="0.2"/>
    <row r="34" ht="26.25" customHeight="1" x14ac:dyDescent="0.2"/>
    <row r="35" ht="26.25" customHeight="1" x14ac:dyDescent="0.2"/>
    <row r="36" ht="26.25" customHeight="1" x14ac:dyDescent="0.2"/>
    <row r="37" ht="26.25" customHeight="1" x14ac:dyDescent="0.2"/>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833AF-ECEC-4882-B6EF-3F894ABDD6B5}">
  <sheetPr>
    <tabColor theme="3" tint="-0.249977111117893"/>
  </sheetPr>
  <dimension ref="B1:R13"/>
  <sheetViews>
    <sheetView showRowColHeaders="0" zoomScale="115" zoomScaleNormal="115" workbookViewId="0"/>
  </sheetViews>
  <sheetFormatPr defaultRowHeight="12" x14ac:dyDescent="0.2"/>
  <cols>
    <col min="1" max="1" width="2.85546875" customWidth="1"/>
    <col min="2" max="2" width="35.140625" customWidth="1"/>
    <col min="3" max="3" width="103.5703125" customWidth="1"/>
    <col min="4" max="4" width="22.28515625" customWidth="1"/>
    <col min="5" max="5" width="46.85546875" customWidth="1"/>
    <col min="6" max="6" width="19.7109375" customWidth="1"/>
    <col min="7" max="7" width="20.140625" customWidth="1"/>
    <col min="8" max="8" width="19" customWidth="1"/>
    <col min="9" max="9" width="11.140625" customWidth="1"/>
    <col min="10" max="10" width="12" customWidth="1"/>
    <col min="11" max="11" width="23.85546875" customWidth="1"/>
    <col min="12" max="20" width="18.7109375" customWidth="1"/>
  </cols>
  <sheetData>
    <row r="1" spans="2:18" s="5" customFormat="1" ht="30" x14ac:dyDescent="0.2">
      <c r="B1" s="5" t="s">
        <v>38</v>
      </c>
    </row>
    <row r="2" spans="2:18" s="5" customFormat="1" ht="30" x14ac:dyDescent="0.2">
      <c r="B2" s="15" t="s">
        <v>52</v>
      </c>
    </row>
    <row r="3" spans="2:18" s="5" customFormat="1" ht="30" x14ac:dyDescent="0.2"/>
    <row r="4" spans="2:18" s="15" customFormat="1" ht="23.25" customHeight="1" x14ac:dyDescent="0.2">
      <c r="B4" s="26" t="s">
        <v>39</v>
      </c>
      <c r="C4" s="15" t="s">
        <v>40</v>
      </c>
      <c r="D4" s="15" t="s">
        <v>41</v>
      </c>
      <c r="E4" s="15" t="s">
        <v>42</v>
      </c>
      <c r="F4" s="10" t="s">
        <v>45</v>
      </c>
      <c r="G4" s="10" t="s">
        <v>22</v>
      </c>
      <c r="H4" s="10" t="s">
        <v>46</v>
      </c>
      <c r="I4" s="15" t="s">
        <v>43</v>
      </c>
      <c r="J4" s="15" t="s">
        <v>44</v>
      </c>
      <c r="K4" s="15" t="s">
        <v>51</v>
      </c>
      <c r="L4" s="10" t="str" cm="1">
        <f t="array" ref="L4:N4">IFERROR(TRANSPOSE(_xlfn._xlws.FILTER(Actuals!$B$7:$B$13,Actuals!$H$7:$H$13)),"No Drivers Selected")</f>
        <v>Units sold</v>
      </c>
      <c r="M4" s="10" t="str">
        <v>Average price</v>
      </c>
      <c r="N4" s="10" t="str">
        <v>Unit cost</v>
      </c>
      <c r="O4" s="10"/>
      <c r="P4" s="10"/>
      <c r="Q4" s="10"/>
      <c r="R4" s="10"/>
    </row>
    <row r="5" spans="2:18" ht="25.5" customHeight="1" x14ac:dyDescent="0.2">
      <c r="B5" s="3" t="str">
        <f>'Scenario 1'!$C$6</f>
        <v>15% on last year, same seasonality</v>
      </c>
      <c r="C5" s="3" t="str">
        <f>'Scenario 1'!$C$7</f>
        <v>Gross margin set 15% above FY2026 actuals, month by month, keeping last year's seasonal shape. Drivers left blank for the solver.</v>
      </c>
      <c r="D5" s="3" t="str">
        <f>'Scenario 1'!$C$8&amp;" / "&amp;'Scenario 1'!$C$9</f>
        <v>Set by me / Solved</v>
      </c>
      <c r="E5" s="3" t="str">
        <f>'Scenario 1'!$C$10</f>
        <v>Smallest change</v>
      </c>
      <c r="F5" s="48">
        <f>Base!$AC$16</f>
        <v>11402869.929495785</v>
      </c>
      <c r="G5" s="48">
        <f>'Scenario 1'!$AC$14</f>
        <v>12050280.75</v>
      </c>
      <c r="H5" s="48">
        <f>'Scenario 1'!$AC$26</f>
        <v>12050280.748923728</v>
      </c>
      <c r="I5" s="49">
        <f>IF(G5="","",H5-G5)</f>
        <v>-1.0762717574834824E-3</v>
      </c>
      <c r="J5" s="47">
        <f>IF(G5="","",I5/G5)</f>
        <v>-8.9315077367262366E-11</v>
      </c>
      <c r="K5" s="47">
        <f>H5/F5-1</f>
        <v>5.6776129468361747E-2</v>
      </c>
      <c r="L5" s="6">
        <f>'Scenario 1'!$AC$17</f>
        <v>23391.719143194707</v>
      </c>
      <c r="M5" s="48">
        <f>'Scenario 1'!$AC$18</f>
        <v>1284.7133557155973</v>
      </c>
      <c r="N5" s="48">
        <f>'Scenario 1'!$AC$19</f>
        <v>765.1398784352242</v>
      </c>
      <c r="O5" s="6"/>
      <c r="P5" s="6"/>
      <c r="Q5" s="6"/>
      <c r="R5" s="6"/>
    </row>
    <row r="6" spans="2:18" ht="25.5" customHeight="1" x14ac:dyDescent="0.2">
      <c r="B6" s="3" t="str">
        <f>'Scenario 2'!$C$6</f>
        <v>Holiday promo: price -10%, units +25% in Nov-Dec</v>
      </c>
      <c r="C6" s="3" t="str">
        <f>'Scenario 2'!$C$7</f>
        <v>Bottom-up. Nov and Dec priced 10% below FY2026 with 25% more units; every other month and unit cost all year held at FY2026 actuals. No target set - the model predicts the gross margin outcome.</v>
      </c>
      <c r="D6" s="3" t="str">
        <f>'Scenario 2'!$C$8&amp;" / "&amp;'Scenario 2'!$C$9</f>
        <v>Not set / Typed</v>
      </c>
      <c r="E6" s="3" t="str">
        <f>'Scenario 2'!$C$10</f>
        <v>Smallest change</v>
      </c>
      <c r="F6" s="48">
        <f>Base!$AC$16</f>
        <v>11402869.929495785</v>
      </c>
      <c r="G6" s="48" t="str">
        <f>""</f>
        <v/>
      </c>
      <c r="H6" s="48">
        <f>'Scenario 2'!$AC$26</f>
        <v>10529592.506112911</v>
      </c>
      <c r="I6" s="49" t="str">
        <f>IF(G6="","",H6-G6)</f>
        <v/>
      </c>
      <c r="J6" s="47" t="str">
        <f>IF(G6="","",I6/G6)</f>
        <v/>
      </c>
      <c r="K6" s="47">
        <f>H6/F6-1</f>
        <v>-7.6584002867906897E-2</v>
      </c>
      <c r="L6" s="6">
        <f>'Scenario 2'!$AC$17</f>
        <v>22525.5</v>
      </c>
      <c r="M6" s="48">
        <f>'Scenario 2'!$AC$18</f>
        <v>1217.0083333333334</v>
      </c>
      <c r="N6" s="48">
        <f>'Scenario 2'!$AC$19</f>
        <v>751.25</v>
      </c>
      <c r="O6" s="6"/>
      <c r="P6" s="6"/>
      <c r="Q6" s="6"/>
      <c r="R6" s="6"/>
    </row>
    <row r="7" spans="2:18" ht="25.5" customHeight="1" x14ac:dyDescent="0.2">
      <c r="B7" s="3" t="str">
        <f>'Scenario 3'!$C$6</f>
        <v>Price held at $1,250, solve volume and cost</v>
      </c>
      <c r="C7" s="3" t="str">
        <f>'Scenario 3'!$C$7</f>
        <v>Hybrid. Average price locked flat at $1,250 a month, roughly today's level and 1.1% below the 2027 baseline forecast. The solver finds the smallest move in units sold and unit cost, inside their limits, that still reaches the 15% target.</v>
      </c>
      <c r="D7" s="3" t="str">
        <f>'Scenario 3'!$C$8&amp;" / "&amp;'Scenario 3'!$C$9</f>
        <v>Set by me / Mixed</v>
      </c>
      <c r="E7" s="3" t="str">
        <f>'Scenario 3'!$C$10</f>
        <v>Smallest change</v>
      </c>
      <c r="F7" s="48">
        <f>Base!$AC$16</f>
        <v>11402869.929495785</v>
      </c>
      <c r="G7" s="48">
        <f>'Scenario 3'!$AC$14</f>
        <v>12050280.75</v>
      </c>
      <c r="H7" s="48">
        <f>'Scenario 3'!$AC$26</f>
        <v>12047873.234938957</v>
      </c>
      <c r="I7" s="49">
        <f>IF(G7="","",H7-G7)</f>
        <v>-2407.5150610432029</v>
      </c>
      <c r="J7" s="47">
        <f>IF(G7="","",I7/G7)</f>
        <v>-1.9978912616149653E-4</v>
      </c>
      <c r="K7" s="47">
        <f>H7/F7-1</f>
        <v>5.6564997183274235E-2</v>
      </c>
      <c r="L7" s="6">
        <f>'Scenario 3'!$AC$17</f>
        <v>23893.169830631752</v>
      </c>
      <c r="M7" s="48">
        <f>'Scenario 3'!$AC$18</f>
        <v>1250</v>
      </c>
      <c r="N7" s="48">
        <f>'Scenario 3'!$AC$19</f>
        <v>741.67836491904529</v>
      </c>
      <c r="O7" s="6"/>
      <c r="P7" s="6"/>
      <c r="Q7" s="6"/>
      <c r="R7" s="6"/>
    </row>
    <row r="8" spans="2:18" ht="25.5" customHeight="1" x14ac:dyDescent="0.2">
      <c r="B8" s="3" t="str">
        <f>'Scenario 4'!$C$6</f>
        <v>Volume capped at 23,400 units, solve price and cost</v>
      </c>
      <c r="C8" s="57" t="str">
        <f>'Scenario 4'!$C$7</f>
        <v>Hybrid. Units sold locked at a typed monthly profile totalling about 23,400 for the year, roughly the 8% fulfilment ceiling Ops will accept. The solver finds the smallest move in average price and unit cost, inside their limits, that still reaches the 15% target.</v>
      </c>
      <c r="D8" s="3" t="str">
        <f>'Scenario 4'!$C$8&amp;" / "&amp;'Scenario 4'!$C$9</f>
        <v>Set by me / Mixed</v>
      </c>
      <c r="E8" s="3" t="str">
        <f>'Scenario 4'!$C$10</f>
        <v>Smallest change</v>
      </c>
      <c r="F8" s="48">
        <f>Base!$AC$16</f>
        <v>11402869.929495785</v>
      </c>
      <c r="G8" s="48">
        <f>'Scenario 4'!$AC$14</f>
        <v>12050280.75</v>
      </c>
      <c r="H8" s="48">
        <f>'Scenario 4'!$AC$26</f>
        <v>12433806.980224423</v>
      </c>
      <c r="I8" s="49">
        <f>IF(G8="","",H8-G8)</f>
        <v>383526.23022442311</v>
      </c>
      <c r="J8" s="47">
        <f>IF(G8="","",I8/G8)</f>
        <v>3.182716138994713E-2</v>
      </c>
      <c r="K8" s="47">
        <f>H8/F8-1</f>
        <v>9.0410313991385216E-2</v>
      </c>
      <c r="L8" s="6">
        <f>'Scenario 4'!$AC$17</f>
        <v>24207.960000000003</v>
      </c>
      <c r="M8" s="48">
        <f>'Scenario 4'!$AC$18</f>
        <v>1284.5660418235232</v>
      </c>
      <c r="N8" s="48">
        <f>'Scenario 4'!$AC$19</f>
        <v>765.19378140489005</v>
      </c>
      <c r="O8" s="6"/>
      <c r="P8" s="6"/>
      <c r="Q8" s="6"/>
      <c r="R8" s="6"/>
    </row>
    <row r="9" spans="2:18" ht="25.5" customHeight="1" x14ac:dyDescent="0.2">
      <c r="B9" s="3"/>
      <c r="C9" s="3"/>
      <c r="D9" s="3"/>
      <c r="E9" s="3"/>
      <c r="F9" s="48"/>
      <c r="G9" s="48"/>
      <c r="H9" s="48"/>
      <c r="I9" s="49"/>
      <c r="J9" s="47"/>
      <c r="K9" s="47"/>
      <c r="L9" s="6"/>
      <c r="M9" s="48"/>
      <c r="N9" s="48"/>
      <c r="O9" s="6"/>
      <c r="P9" s="6"/>
      <c r="Q9" s="6"/>
      <c r="R9" s="6"/>
    </row>
    <row r="10" spans="2:18" ht="22.5" customHeight="1" x14ac:dyDescent="0.2"/>
    <row r="11" spans="2:18" ht="33.75" customHeight="1" x14ac:dyDescent="0.2">
      <c r="B11" s="4" t="s">
        <v>53</v>
      </c>
      <c r="C11" s="4" t="str">
        <f>'Scenario 1'!$C$7&amp;" Objective: "&amp;'Scenario 1'!$C$10&amp;"."</f>
        <v>Gross margin set 15% above FY2026 actuals, month by month, keeping last year's seasonal shape. Drivers left blank for the solver. Objective: Smallest change.</v>
      </c>
      <c r="D11" s="4"/>
      <c r="E11" s="4"/>
    </row>
    <row r="12" spans="2:18" ht="73.5" customHeight="1" x14ac:dyDescent="0.2">
      <c r="B12" s="14" t="str">
        <f>'Scenario 1'!$C$6</f>
        <v>15% on last year, same seasonality</v>
      </c>
      <c r="C12" s="33" t="str">
        <f>'Scenario 1'!$C$7&amp;" Objective: "&amp;'Scenario 1'!$C$10&amp;"."</f>
        <v>Gross margin set 15% above FY2026 actuals, month by month, keeping last year's seasonal shape. Drivers left blank for the solver. Objective: Smallest change.</v>
      </c>
      <c r="D12" s="33"/>
      <c r="E12" s="33"/>
    </row>
    <row r="13" spans="2:18" ht="174.95" customHeight="1" x14ac:dyDescent="0.2">
      <c r="B13" s="50" t="s">
        <v>133</v>
      </c>
      <c r="C13" s="51"/>
      <c r="D13" s="51"/>
      <c r="E13" s="52"/>
    </row>
  </sheetData>
  <mergeCells count="2">
    <mergeCell ref="B13:E13"/>
    <mergeCell ref="C12:E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item1.xml><?xml version="1.0" encoding="utf-8"?>
<venadatastore xmlns="http://venasolutions.com/VenaSPMAddin/DataModelSectionStore_V1">{}</venadatastore>
</file>

<file path=customXml/item2.xml><?xml version="1.0" encoding="utf-8"?>
<venadatastore xmlns="http://venasolutions.com/VenaSPMAddin/OperationalTableSaveDataView">[]</venadatastore>
</file>

<file path=customXml/item3.xml><?xml version="1.0" encoding="utf-8"?>
<venadatastore xmlns="http://venasolutions.com/VenaSPMAddin/ServerSideBlobV1">{"Version":1,"Mappings":{},"DynamicRangeStoreData":{},"FormVariables":{"Groups":{"3058546c-b6f6-4fa4-af7c-31c197229dd9":{"Id":"3058546c-b6f6-4fa4-af7c-31c197229dd9","Name":"*fvAccount","DynamicMemberType":6,"DynamicMatchField":3,"DynamicMemberDimensionId":1,"DynamicMemberDimensionMemberId":"651628977392320512","DataModelId":"651628815408562176"},"45410185-8f3a-46ff-bee9-21e6daaa5938":{"Id":"45410185-8f3a-46ff-bee9-21e6daaa5938","Name":"*fvEntity","DynamicMemberType":6,"DynamicMatchField":3,"DynamicMemberDimensionId":2,"DynamicMemberDimensionMemberId":"651628998371311616","DataModelId":"651628815408562176"},"31b0137b-3846-446c-80a3-7bd765839bf3":{"Id":"31b0137b-3846-446c-80a3-7bd765839bf3","Name":"*fvDepartment","DynamicMemberType":6,"DynamicMatchField":3,"DynamicMemberDimensionId":3,"DynamicMemberDimensionMemberId":"651629027010412544","DataModelId":"651628815408562176"},"1678dd3c-c65f-4640-aa9a-cde3f2784184":{"Id":"1678dd3c-c65f-4640-aa9a-cde3f2784184","Name":"*fvID","DynamicMemberType":6,"DynamicMatchField":3,"DynamicMemberDimensionId":4,"DynamicMemberDimensionMemberId":"651629055700107264","DataModelId":"651628815408562176"},"63d3bbbf-a39d-4ecd-bf43-38d79c601b13":{"Id":"63d3bbbf-a39d-4ecd-bf43-38d79c601b13","Name":"*fvProduct","DynamicMemberType":6,"DynamicMatchField":3,"DynamicMemberDimensionId":5,"DynamicMemberDimensionMemberId":"651629077824667648","DataModelId":"651628815408562176"},"09c8d61b-a343-4983-8e9b-4f0d41576985":{"Id":"09c8d61b-a343-4983-8e9b-4f0d41576985","Name":"*fvProject","DynamicMemberType":6,"DynamicMatchField":3,"DynamicMemberDimensionId":6,"DynamicMemberDimensionMemberId":"651629100176506880","DataModelId":"651628815408562176"},"f6bf9602-3e37-4fca-aca6-6d8ba368956e":{"Id":"f6bf9602-3e37-4fca-aca6-6d8ba368956e","Name":"*fvGeography","DynamicMemberType":6,"DynamicMatchField":3,"DynamicMemberDimensionId":7,"DynamicMemberDimensionMemberId":"651629121814790144","DataModelId":"651628815408562176"},"52042086-2e23-4d1c-b12e-8821a5a5f14e":{"Id":"52042086-2e23-4d1c-b12e-8821a5a5f14e","Name":"*fvYear","DynamicMemberType":6,"DynamicMatchField":3,"DynamicMemberDimensionId":8,"DynamicMemberDimensionMemberId":"651629139186417664","DataModelId":"651628815408562176"},"c6094a68-5682-4946-9f81-abbcc00f9747":{"Id":"c6094a68-5682-4946-9f81-abbcc00f9747","Name":"*fvPeriod","DynamicMemberType":6,"DynamicMatchField":3,"DynamicMemberDimensionId":9,"DynamicMemberDimensionMemberId":"651629162104750080","DataModelId":"651628815408562176"},"4062bac7-a2a0-42d7-9ce0-f76e1275b36e":{"Id":"4062bac7-a2a0-42d7-9ce0-f76e1275b36e","Name":"*fvScenario","DynamicMemberType":6,"DynamicMatchField":3,"DynamicMemberDimensionId":10,"DynamicMemberDimensionMemberId":"651629367604805632","DataModelId":"651628815408562176"},"2c5a9a42-bc70-4bbf-a623-7e194653702d":{"Id":"2c5a9a42-bc70-4bbf-a623-7e194653702d","Name":"*fvCurrency","DynamicMemberType":6,"DynamicMatchField":3,"DynamicMemberDimensionId":11,"DynamicMemberDimensionMemberId":"651631336595259392","DataModelId":"651628815408562176"},"12b0ffa4-9c2d-499f-81c7-37cc7f2225f1":{"Id":"12b0ffa4-9c2d-499f-81c7-37cc7f2225f1","Name":"*fvMeasure","DynamicMemberType":6,"DynamicMatchField":3,"DynamicMemberDimensionId":12,"DynamicMemberDimensionMemberId":"651631365804916736","DataModelId":"651628815408562176"}},"GroupMembers":{}},"LoadedDataModels":["651628815408562176"],"DefaultDataModel":"-1","DynamicBindingStoreDataList":{"BindList":[]},"LineItemEnabledSectionBlockPairs":[],"LineItemDetailsRowMap":{},"OperationalChooseMappings":{},"VenaWorkbookSettings":{},"VenaSqlQueries":null,"VenaWritebackQueries":{}}</venadatastore>
</file>

<file path=customXml/item4.xml><?xml version="1.0" encoding="utf-8"?>
<venadatastore xmlns="http://venasolutions.com/VenaSPMAddin/SaveDataView_V1">[]</venadatastore>
</file>

<file path=customXml/item5.xml><?xml version="1.0" encoding="utf-8"?>
<venadatastore xmlns="http://venasolutions.com/VenaSPMAddin/AdhocFileMetadata">{}</venadatastore>
</file>

<file path=customXml/item6.xml><?xml version="1.0" encoding="utf-8"?>
<venadatastore xmlns="http://venasolutions.com/VenaSPMAddin/ExcelCustomMultiDynamicCollectionStore_V1">[]</venadatastore>
</file>

<file path=customXml/item7.xml><?xml version="1.0" encoding="utf-8"?>
<venadatastore xmlns="http://vena.io/React/DynamicRangeStore_V1">{}</venadatastore>
</file>

<file path=customXml/item8.xml><?xml version="1.0" encoding="utf-8"?>
<venadatastore xmlns="http://venasolutions.com/VenaTemplate/SolutionPackageMetadata/V1">""</venadatastore>
</file>

<file path=customXml/item9.xml><?xml version="1.0" encoding="utf-8"?>
<venadatastore xmlns="http://vena.io/React/LIDMappingStore_V1">{}</venadatastore>
</file>

<file path=customXml/item10.xml><?xml version="1.0" encoding="utf-8"?>
<venadatastore xmlns="http://venasolutions.com/VenaSPMAddin/DrillThroughTableInfo_V1">[]</venadatastore>
</file>

<file path=customXml/item11.xml><?xml version="1.0" encoding="utf-8"?>
<venadatastore xmlns="http://venasolutions.com/VenaSPMAddin/VenaWorkbookSettings">{}</venadatastore>
</file>

<file path=customXml/item12.xml><?xml version="1.0" encoding="utf-8"?>
<venadatastore xmlns="http://vena.io/React/TopmostPageStore_V1">[]</venadatastore>
</file>

<file path=customXml/item13.xml><?xml version="1.0" encoding="utf-8"?>
<venadatastore xmlns="http://venasolutions.com/VenaSPMAddin/VenaWorkbookProperties">{"LoadedSuccessfully":false,"ConnectionContext":null,"Replay":false,"OfflineGuid":"00000000-0000-0000-0000-000000000000","ServiceUrl":null,"WorkbookIsOffline":false,"DocPropertiesJson":null,"Filename":null,"WP":null,"Subdomain":null,"AddinType":"Vena 365","AddinVersion":"ad10704"}</venadatastore>
</file>

<file path=customXml/item14.xml><?xml version="1.0" encoding="utf-8"?>
<venadatastore xmlns="http://venasolutions.com/VenaSPMAddin/CopilotStore">{}</venadatastore>
</file>

<file path=customXml/item15.xml><?xml version="1.0" encoding="utf-8"?>
<venadatastore xmlns="http://venasolutions.com/VenaSPMAddin/ExcelCustomLoadedDataModelStore_V1">[]</venadatastore>
</file>

<file path=customXml/item16.xml><?xml version="1.0" encoding="utf-8"?>
<venadatastore xmlns="http://venasolutions.com/VenaSPMAddin/AdHocStore">{}</venadatastore>
</file>

<file path=customXml/itemProps1.xml><?xml version="1.0" encoding="utf-8"?>
<ds:datastoreItem xmlns:ds="http://schemas.openxmlformats.org/officeDocument/2006/customXml" ds:itemID="{3EA13D5C-807D-4798-85D9-86C5C5CA016B}">
  <ds:schemaRefs>
    <ds:schemaRef ds:uri="http://venasolutions.com/VenaSPMAddin/DataModelSectionStore_V1"/>
  </ds:schemaRefs>
</ds:datastoreItem>
</file>

<file path=customXml/itemProps2.xml><?xml version="1.0" encoding="utf-8"?>
<ds:datastoreItem xmlns:ds="http://schemas.openxmlformats.org/officeDocument/2006/customXml" ds:itemID="{68E64058-0145-4DB6-A231-682698541CA0}">
  <ds:schemaRefs>
    <ds:schemaRef ds:uri="http://venasolutions.com/VenaSPMAddin/OperationalTableSaveDataView"/>
  </ds:schemaRefs>
</ds:datastoreItem>
</file>

<file path=customXml/itemProps3.xml><?xml version="1.0" encoding="utf-8"?>
<ds:datastoreItem xmlns:ds="http://schemas.openxmlformats.org/officeDocument/2006/customXml" ds:itemID="{6DB28184-4C48-4A75-9872-883226F8BCF0}">
  <ds:schemaRefs>
    <ds:schemaRef ds:uri="http://venasolutions.com/VenaSPMAddin/ServerSideBlobV1"/>
  </ds:schemaRefs>
</ds:datastoreItem>
</file>

<file path=customXml/itemProps4.xml><?xml version="1.0" encoding="utf-8"?>
<ds:datastoreItem xmlns:ds="http://schemas.openxmlformats.org/officeDocument/2006/customXml" ds:itemID="{C6A3FBDC-FAC8-4092-8F13-C6A2F42D4DB4}">
  <ds:schemaRefs>
    <ds:schemaRef ds:uri="http://venasolutions.com/VenaSPMAddin/SaveDataView_V1"/>
  </ds:schemaRefs>
</ds:datastoreItem>
</file>

<file path=customXml/itemProps5.xml><?xml version="1.0" encoding="utf-8"?>
<ds:datastoreItem xmlns:ds="http://schemas.openxmlformats.org/officeDocument/2006/customXml" ds:itemID="{20BD2D67-6FE5-4164-A3B5-BD7419E2C70B}">
  <ds:schemaRefs>
    <ds:schemaRef ds:uri="http://venasolutions.com/VenaSPMAddin/AdhocFileMetadata"/>
  </ds:schemaRefs>
</ds:datastoreItem>
</file>

<file path=customXml/itemProps6.xml><?xml version="1.0" encoding="utf-8"?>
<ds:datastoreItem xmlns:ds="http://schemas.openxmlformats.org/officeDocument/2006/customXml" ds:itemID="{DCFCB89E-C69B-4CD3-A4B0-1658EB4F78BA}">
  <ds:schemaRefs>
    <ds:schemaRef ds:uri="http://venasolutions.com/VenaSPMAddin/ExcelCustomMultiDynamicCollectionStore_V1"/>
  </ds:schemaRefs>
</ds:datastoreItem>
</file>

<file path=customXml/itemProps7.xml><?xml version="1.0" encoding="utf-8"?>
<ds:datastoreItem xmlns:ds="http://schemas.openxmlformats.org/officeDocument/2006/customXml" ds:itemID="{79F2AA23-C1C1-49BA-A65B-54D244765CD5}">
  <ds:schemaRefs>
    <ds:schemaRef ds:uri="http://vena.io/React/DynamicRangeStore_V1"/>
  </ds:schemaRefs>
</ds:datastoreItem>
</file>

<file path=customXml/itemProps8.xml><?xml version="1.0" encoding="utf-8"?>
<ds:datastoreItem xmlns:ds="http://schemas.openxmlformats.org/officeDocument/2006/customXml" ds:itemID="{B7345356-404B-4B82-A2FD-28AD485D3B88}">
  <ds:schemaRefs>
    <ds:schemaRef ds:uri="http://venasolutions.com/VenaTemplate/SolutionPackageMetadata/V1"/>
  </ds:schemaRefs>
</ds:datastoreItem>
</file>

<file path=customXml/itemProps9.xml><?xml version="1.0" encoding="utf-8"?>
<ds:datastoreItem xmlns:ds="http://schemas.openxmlformats.org/officeDocument/2006/customXml" ds:itemID="{8ECB9AB0-36D4-44F8-B64B-9CA10089CBA8}">
  <ds:schemaRefs>
    <ds:schemaRef ds:uri="http://vena.io/React/LIDMappingStore_V1"/>
  </ds:schemaRefs>
</ds:datastoreItem>
</file>

<file path=customXml/itemProps10.xml><?xml version="1.0" encoding="utf-8"?>
<ds:datastoreItem xmlns:ds="http://schemas.openxmlformats.org/officeDocument/2006/customXml" ds:itemID="{60B6613B-AF47-4052-9122-24F4EC7A0F0F}">
  <ds:schemaRefs>
    <ds:schemaRef ds:uri="http://venasolutions.com/VenaSPMAddin/DrillThroughTableInfo_V1"/>
  </ds:schemaRefs>
</ds:datastoreItem>
</file>

<file path=customXml/itemProps11.xml><?xml version="1.0" encoding="utf-8"?>
<ds:datastoreItem xmlns:ds="http://schemas.openxmlformats.org/officeDocument/2006/customXml" ds:itemID="{7CDBD47E-D50A-4D59-8B0E-42DCCB985229}">
  <ds:schemaRefs>
    <ds:schemaRef ds:uri="http://venasolutions.com/VenaSPMAddin/VenaWorkbookSettings"/>
  </ds:schemaRefs>
</ds:datastoreItem>
</file>

<file path=customXml/itemProps12.xml><?xml version="1.0" encoding="utf-8"?>
<ds:datastoreItem xmlns:ds="http://schemas.openxmlformats.org/officeDocument/2006/customXml" ds:itemID="{4EA6408A-B210-4840-A5D2-6C80E9BFA333}">
  <ds:schemaRefs>
    <ds:schemaRef ds:uri="http://vena.io/React/TopmostPageStore_V1"/>
  </ds:schemaRefs>
</ds:datastoreItem>
</file>

<file path=customXml/itemProps13.xml><?xml version="1.0" encoding="utf-8"?>
<ds:datastoreItem xmlns:ds="http://schemas.openxmlformats.org/officeDocument/2006/customXml" ds:itemID="{190BF951-1E42-43C5-8917-C01250868A2B}">
  <ds:schemaRefs>
    <ds:schemaRef ds:uri="http://venasolutions.com/VenaSPMAddin/VenaWorkbookProperties"/>
  </ds:schemaRefs>
</ds:datastoreItem>
</file>

<file path=customXml/itemProps14.xml><?xml version="1.0" encoding="utf-8"?>
<ds:datastoreItem xmlns:ds="http://schemas.openxmlformats.org/officeDocument/2006/customXml" ds:itemID="{C19A4F87-7EEE-49F2-8231-0B0192EE327C}">
  <ds:schemaRefs>
    <ds:schemaRef ds:uri="http://venasolutions.com/VenaSPMAddin/CopilotStore"/>
  </ds:schemaRefs>
</ds:datastoreItem>
</file>

<file path=customXml/itemProps15.xml><?xml version="1.0" encoding="utf-8"?>
<ds:datastoreItem xmlns:ds="http://schemas.openxmlformats.org/officeDocument/2006/customXml" ds:itemID="{B7B408A7-49D2-4B1E-8D5A-A7C2C821B9FA}">
  <ds:schemaRefs>
    <ds:schemaRef ds:uri="http://venasolutions.com/VenaSPMAddin/ExcelCustomLoadedDataModelStore_V1"/>
  </ds:schemaRefs>
</ds:datastoreItem>
</file>

<file path=customXml/itemProps16.xml><?xml version="1.0" encoding="utf-8"?>
<ds:datastoreItem xmlns:ds="http://schemas.openxmlformats.org/officeDocument/2006/customXml" ds:itemID="{BC5DF7B4-4901-4952-9C88-1C219B385A67}">
  <ds:schemaRefs>
    <ds:schemaRef ds:uri="http://venasolutions.com/VenaSPMAddin/AdHocStor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Actuals</vt:lpstr>
      <vt:lpstr>Frame</vt:lpstr>
      <vt:lpstr>Model</vt:lpstr>
      <vt:lpstr>Base</vt:lpstr>
      <vt:lpstr>Scenario Builder</vt:lpstr>
      <vt:lpstr>Scenario 1</vt:lpstr>
      <vt:lpstr>Scenario 2</vt:lpstr>
      <vt:lpstr>Scenario 3</vt:lpstr>
      <vt:lpstr>Scenario 4</vt:lpstr>
      <vt:lpstr>Summary</vt:lpstr>
      <vt:lpstr>DriverBase</vt:lpstr>
      <vt:lpstr>DriverForecast</vt:lpstr>
      <vt:lpstr>Effects</vt:lpstr>
      <vt:lpstr>Intercept</vt:lpstr>
      <vt:lpstr>TargetBase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Adam Kleinert</cp:lastModifiedBy>
  <dcterms:created xsi:type="dcterms:W3CDTF">2026-06-05T15:39:25Z</dcterms:created>
  <dcterms:modified xsi:type="dcterms:W3CDTF">2026-09-22T22:29:15Z</dcterms:modified>
</cp:coreProperties>
</file>